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urki\Desktop\"/>
    </mc:Choice>
  </mc:AlternateContent>
  <bookViews>
    <workbookView xWindow="0" yWindow="0" windowWidth="20490" windowHeight="7520"/>
  </bookViews>
  <sheets>
    <sheet name="الميزانية الشهرية" sheetId="1" r:id="rId1"/>
  </sheets>
  <externalReferences>
    <externalReference r:id="rId2"/>
  </externalReferences>
  <definedNames>
    <definedName name="_xlnm._FilterDatabase" localSheetId="0" hidden="1">'[1]Monthly Budget'!$J$18:$J$37</definedName>
    <definedName name="_xlnm.Criteria" localSheetId="0">'الميزانية الشهرية'!#REF!</definedName>
    <definedName name="_xlnm.Extract" localSheetId="0">'الميزانية الشهرية'!#REF!</definedName>
  </definedNames>
  <calcPr calcId="152511"/>
</workbook>
</file>

<file path=xl/calcChain.xml><?xml version="1.0" encoding="utf-8"?>
<calcChain xmlns="http://schemas.openxmlformats.org/spreadsheetml/2006/main">
  <c r="C34" i="1" l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20" i="1"/>
  <c r="C38" i="1" s="1"/>
  <c r="K14" i="1"/>
  <c r="K15" i="1"/>
  <c r="K13" i="1"/>
  <c r="K7" i="1"/>
  <c r="K8" i="1"/>
  <c r="K6" i="1"/>
  <c r="C36" i="1" l="1"/>
  <c r="E34" i="1"/>
  <c r="C37" i="1"/>
  <c r="C35" i="1"/>
  <c r="C39" i="1" s="1"/>
  <c r="B34" i="1"/>
  <c r="J40" i="1"/>
  <c r="I4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20" i="1"/>
  <c r="L40" i="1" s="1"/>
  <c r="L14" i="1"/>
  <c r="L15" i="1"/>
  <c r="L13" i="1"/>
  <c r="J16" i="1"/>
  <c r="I16" i="1"/>
  <c r="L7" i="1"/>
  <c r="L8" i="1"/>
  <c r="L6" i="1"/>
  <c r="L9" i="1" s="1"/>
  <c r="J9" i="1"/>
  <c r="D6" i="1" s="1"/>
  <c r="I9" i="1"/>
  <c r="C6" i="1" s="1"/>
  <c r="L16" i="1" l="1"/>
  <c r="E6" i="1"/>
  <c r="C7" i="1"/>
  <c r="D7" i="1"/>
  <c r="D34" i="1" s="1"/>
  <c r="B35" i="1" l="1"/>
  <c r="B36" i="1"/>
  <c r="B37" i="1"/>
  <c r="B38" i="1"/>
  <c r="E7" i="1"/>
  <c r="E38" i="1" l="1"/>
  <c r="D38" i="1"/>
  <c r="E37" i="1"/>
  <c r="D37" i="1"/>
  <c r="E36" i="1"/>
  <c r="D36" i="1"/>
  <c r="E35" i="1"/>
  <c r="E39" i="1" s="1"/>
  <c r="D35" i="1"/>
  <c r="D39" i="1" s="1"/>
  <c r="C8" i="1"/>
  <c r="D8" i="1"/>
  <c r="E8" i="1" s="1"/>
</calcChain>
</file>

<file path=xl/sharedStrings.xml><?xml version="1.0" encoding="utf-8"?>
<sst xmlns="http://schemas.openxmlformats.org/spreadsheetml/2006/main" count="61" uniqueCount="49">
  <si>
    <t>غير ذلك</t>
  </si>
  <si>
    <t>الإعلانات</t>
  </si>
  <si>
    <t>الإهلاك</t>
  </si>
  <si>
    <t>التأمين</t>
  </si>
  <si>
    <t>الفائدة</t>
  </si>
  <si>
    <t>تجهيزات المكاتب</t>
  </si>
  <si>
    <t>البريد</t>
  </si>
  <si>
    <t>الإيجار أو الرهن</t>
  </si>
  <si>
    <t>مصاريف المبيعات</t>
  </si>
  <si>
    <t>الشحن والتخزين</t>
  </si>
  <si>
    <t>التجهيزات</t>
  </si>
  <si>
    <t>الضرائب</t>
  </si>
  <si>
    <t>الهاتف</t>
  </si>
  <si>
    <t>الإجمالي</t>
  </si>
  <si>
    <t>الدخل</t>
  </si>
  <si>
    <t>الأجور</t>
  </si>
  <si>
    <t>العمولة</t>
  </si>
  <si>
    <t>المصاريف</t>
  </si>
  <si>
    <t>إجمالي الموظف</t>
  </si>
  <si>
    <t>أعلى خمسة مبالغ</t>
  </si>
  <si>
    <t>المقدر</t>
  </si>
  <si>
    <t>الفعلي</t>
  </si>
  <si>
    <t>الفرق</t>
  </si>
  <si>
    <t>الدخل</t>
  </si>
  <si>
    <t>أعلى خمسة مبالغ</t>
  </si>
  <si>
    <t>مصاريف الموظف</t>
  </si>
  <si>
    <t>مصاريف التشغيل</t>
  </si>
  <si>
    <t>ما هي أعلى خمسة مصاريف تشغيل لدي؟</t>
  </si>
  <si>
    <t>المصاريف</t>
  </si>
  <si>
    <t>المبلغ</t>
  </si>
  <si>
    <t>نسبة المصاريف</t>
  </si>
  <si>
    <t>إجماليات الميزانية</t>
  </si>
  <si>
    <t>الميزانية الشهرية</t>
  </si>
  <si>
    <t>إجمالي التشغيل</t>
  </si>
  <si>
    <t>15% خصم</t>
  </si>
  <si>
    <t>الرصيد (الدخل مطروحاً منه المصاريف)</t>
  </si>
  <si>
    <t>فوائد الموظف</t>
  </si>
  <si>
    <t>الديون المعدومة</t>
  </si>
  <si>
    <t>الخصومات النقدية</t>
  </si>
  <si>
    <t>الاستحقاقات والاشتراكات</t>
  </si>
  <si>
    <t>الشؤون القانونية والتدقيق</t>
  </si>
  <si>
    <t>الصيانة والإصلاحات</t>
  </si>
  <si>
    <t>صافي المبيعات</t>
  </si>
  <si>
    <t>إيرادات الفوائد</t>
  </si>
  <si>
    <t>مبيعات الأصول (الربح/الخسارة)</t>
  </si>
  <si>
    <t>اسم الشركة</t>
  </si>
  <si>
    <t>تكلفة التسليم</t>
  </si>
  <si>
    <t xml:space="preserve"> </t>
  </si>
  <si>
    <t>الأدوات المساعدة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</si>
</sst>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_-* #,##0.00\-;_-* &quot;-&quot;??_-;_-@_-"/>
    <numFmt numFmtId="165" formatCode="mmmm\ yyyy"/>
    <numFmt numFmtId="166" formatCode="0.0%"/>
    <numFmt numFmtId="167" formatCode="#,##0.00_-;[Red]\(\ ###0.00\)"/>
  </numFmts>
  <fonts count="15" x14ac:knownFonts="1">
    <font>
      <sz val="11"/>
      <color theme="1"/>
      <name val="Gill Sans MT"/>
      <family val="2"/>
      <scheme val="minor"/>
    </font>
    <font>
      <sz val="11"/>
      <color theme="1"/>
      <name val="Gill Sans MT"/>
      <family val="2"/>
      <scheme val="minor"/>
    </font>
    <font>
      <sz val="10"/>
      <color theme="1"/>
      <name val="Gill Sans MT"/>
      <family val="2"/>
      <scheme val="minor"/>
    </font>
    <font>
      <sz val="36"/>
      <color theme="3"/>
      <name val="Gill Sans MT"/>
      <family val="2"/>
      <scheme val="major"/>
    </font>
    <font>
      <sz val="11"/>
      <color theme="1"/>
      <name val="Tahoma"/>
      <family val="2"/>
    </font>
    <font>
      <sz val="16"/>
      <color theme="3"/>
      <name val="Tahoma"/>
      <family val="2"/>
    </font>
    <font>
      <sz val="16"/>
      <color theme="0"/>
      <name val="Tahoma"/>
      <family val="2"/>
    </font>
    <font>
      <sz val="10"/>
      <color theme="0"/>
      <name val="Tahoma"/>
      <family val="2"/>
    </font>
    <font>
      <sz val="36"/>
      <color theme="3"/>
      <name val="Tahoma"/>
      <family val="2"/>
    </font>
    <font>
      <sz val="36"/>
      <color theme="0"/>
      <name val="Tahoma"/>
      <family val="2"/>
    </font>
    <font>
      <sz val="11"/>
      <color theme="3"/>
      <name val="Tahoma"/>
      <family val="2"/>
    </font>
    <font>
      <sz val="12"/>
      <color theme="1"/>
      <name val="Tahoma"/>
      <family val="2"/>
    </font>
    <font>
      <b/>
      <sz val="18"/>
      <color theme="1"/>
      <name val="Tahoma"/>
      <family val="2"/>
    </font>
    <font>
      <sz val="12"/>
      <color theme="3"/>
      <name val="Tahoma"/>
      <family val="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horizontal="right" indent="1"/>
    </xf>
    <xf numFmtId="0" fontId="6" fillId="0" borderId="0" xfId="0" applyFont="1" applyFill="1" applyAlignment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3" applyFont="1" applyFill="1" applyAlignment="1">
      <alignment horizontal="right" indent="1"/>
    </xf>
    <xf numFmtId="0" fontId="9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/>
    <xf numFmtId="0" fontId="4" fillId="0" borderId="0" xfId="0" applyFont="1" applyFill="1" applyBorder="1" applyAlignment="1">
      <alignment horizontal="right" indent="1"/>
    </xf>
    <xf numFmtId="164" fontId="4" fillId="2" borderId="0" xfId="2" applyFont="1" applyFill="1"/>
    <xf numFmtId="0" fontId="4" fillId="3" borderId="0" xfId="0" applyFont="1" applyFill="1"/>
    <xf numFmtId="0" fontId="4" fillId="0" borderId="0" xfId="0" applyFont="1"/>
    <xf numFmtId="164" fontId="4" fillId="2" borderId="0" xfId="0" applyNumberFormat="1" applyFont="1" applyFill="1"/>
    <xf numFmtId="0" fontId="4" fillId="0" borderId="0" xfId="0" applyFont="1" applyFill="1" applyBorder="1"/>
    <xf numFmtId="0" fontId="4" fillId="2" borderId="0" xfId="0" applyFont="1" applyFill="1" applyAlignment="1"/>
    <xf numFmtId="9" fontId="4" fillId="2" borderId="0" xfId="1" applyFont="1" applyFill="1" applyAlignment="1">
      <alignment horizontal="right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0" fillId="0" borderId="0" xfId="3" applyFont="1" applyAlignment="1">
      <alignment vertical="center"/>
    </xf>
    <xf numFmtId="0" fontId="14" fillId="0" borderId="0" xfId="0" applyFont="1" applyFill="1" applyBorder="1" applyAlignment="1">
      <alignment horizontal="right" indent="1"/>
    </xf>
    <xf numFmtId="167" fontId="4" fillId="0" borderId="0" xfId="2" applyNumberFormat="1" applyFont="1" applyFill="1" applyBorder="1" applyAlignment="1">
      <alignment readingOrder="2"/>
    </xf>
    <xf numFmtId="167" fontId="4" fillId="0" borderId="0" xfId="0" applyNumberFormat="1" applyFont="1" applyFill="1" applyBorder="1" applyAlignment="1">
      <alignment readingOrder="2"/>
    </xf>
    <xf numFmtId="167" fontId="4" fillId="0" borderId="0" xfId="0" applyNumberFormat="1" applyFont="1" applyFill="1" applyAlignment="1">
      <alignment readingOrder="2"/>
    </xf>
    <xf numFmtId="167" fontId="7" fillId="0" borderId="0" xfId="0" applyNumberFormat="1" applyFont="1" applyFill="1" applyBorder="1" applyAlignment="1">
      <alignment horizontal="right" readingOrder="2"/>
    </xf>
    <xf numFmtId="167" fontId="4" fillId="0" borderId="0" xfId="0" applyNumberFormat="1" applyFont="1" applyFill="1" applyBorder="1" applyAlignment="1">
      <alignment vertical="center" readingOrder="2"/>
    </xf>
    <xf numFmtId="167" fontId="4" fillId="3" borderId="0" xfId="0" applyNumberFormat="1" applyFont="1" applyFill="1" applyAlignment="1">
      <alignment readingOrder="2"/>
    </xf>
    <xf numFmtId="2" fontId="4" fillId="0" borderId="0" xfId="2" applyNumberFormat="1" applyFont="1" applyFill="1" applyBorder="1" applyAlignment="1">
      <alignment readingOrder="2"/>
    </xf>
    <xf numFmtId="2" fontId="4" fillId="0" borderId="0" xfId="0" applyNumberFormat="1" applyFont="1" applyFill="1" applyBorder="1" applyAlignment="1">
      <alignment readingOrder="2"/>
    </xf>
    <xf numFmtId="2" fontId="4" fillId="0" borderId="0" xfId="0" applyNumberFormat="1" applyFont="1" applyFill="1" applyAlignment="1">
      <alignment readingOrder="2"/>
    </xf>
    <xf numFmtId="2" fontId="7" fillId="0" borderId="0" xfId="0" applyNumberFormat="1" applyFont="1" applyFill="1" applyAlignment="1">
      <alignment readingOrder="2"/>
    </xf>
    <xf numFmtId="2" fontId="7" fillId="0" borderId="0" xfId="0" applyNumberFormat="1" applyFont="1" applyFill="1" applyAlignment="1">
      <alignment horizontal="right" readingOrder="2"/>
    </xf>
    <xf numFmtId="2" fontId="4" fillId="0" borderId="0" xfId="0" applyNumberFormat="1" applyFont="1" applyFill="1" applyBorder="1" applyAlignment="1">
      <alignment vertical="center" readingOrder="2"/>
    </xf>
    <xf numFmtId="2" fontId="4" fillId="3" borderId="0" xfId="0" applyNumberFormat="1" applyFont="1" applyFill="1" applyAlignment="1">
      <alignment readingOrder="2"/>
    </xf>
    <xf numFmtId="2" fontId="4" fillId="0" borderId="0" xfId="2" applyNumberFormat="1" applyFont="1" applyFill="1" applyBorder="1" applyAlignment="1">
      <alignment horizontal="left" readingOrder="2"/>
    </xf>
    <xf numFmtId="166" fontId="4" fillId="0" borderId="0" xfId="1" applyNumberFormat="1" applyFont="1" applyFill="1" applyBorder="1" applyAlignment="1">
      <alignment horizontal="left" readingOrder="2"/>
    </xf>
    <xf numFmtId="2" fontId="14" fillId="0" borderId="0" xfId="0" applyNumberFormat="1" applyFont="1" applyFill="1" applyBorder="1" applyAlignment="1">
      <alignment horizontal="left" readingOrder="2"/>
    </xf>
    <xf numFmtId="166" fontId="14" fillId="0" borderId="0" xfId="0" applyNumberFormat="1" applyFont="1" applyFill="1" applyBorder="1" applyAlignment="1">
      <alignment horizontal="left" readingOrder="2"/>
    </xf>
    <xf numFmtId="0" fontId="4" fillId="0" borderId="0" xfId="0" applyFont="1" applyFill="1" applyBorder="1" applyAlignment="1">
      <alignment vertical="center" readingOrder="2"/>
    </xf>
    <xf numFmtId="40" fontId="4" fillId="0" borderId="0" xfId="2" applyNumberFormat="1" applyFont="1" applyFill="1" applyBorder="1" applyAlignment="1">
      <alignment horizontal="left"/>
    </xf>
    <xf numFmtId="167" fontId="4" fillId="0" borderId="0" xfId="2" applyNumberFormat="1" applyFont="1" applyFill="1" applyBorder="1" applyAlignment="1">
      <alignment horizontal="left" readingOrder="2"/>
    </xf>
    <xf numFmtId="40" fontId="14" fillId="0" borderId="0" xfId="0" applyNumberFormat="1" applyFont="1" applyFill="1" applyBorder="1" applyAlignment="1">
      <alignment horizontal="left"/>
    </xf>
    <xf numFmtId="40" fontId="4" fillId="0" borderId="0" xfId="0" applyNumberFormat="1" applyFont="1" applyFill="1" applyBorder="1" applyAlignment="1">
      <alignment horizontal="left"/>
    </xf>
    <xf numFmtId="167" fontId="14" fillId="0" borderId="0" xfId="0" applyNumberFormat="1" applyFont="1" applyFill="1" applyBorder="1" applyAlignment="1">
      <alignment horizontal="left" readingOrder="2"/>
    </xf>
    <xf numFmtId="2" fontId="4" fillId="0" borderId="0" xfId="0" applyNumberFormat="1" applyFont="1" applyFill="1" applyBorder="1" applyAlignment="1">
      <alignment horizontal="left" readingOrder="2"/>
    </xf>
    <xf numFmtId="167" fontId="4" fillId="0" borderId="0" xfId="0" applyNumberFormat="1" applyFont="1" applyFill="1" applyBorder="1" applyAlignment="1">
      <alignment horizontal="left" readingOrder="2"/>
    </xf>
    <xf numFmtId="0" fontId="4" fillId="3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5" fontId="10" fillId="0" borderId="0" xfId="0" applyNumberFormat="1" applyFont="1" applyFill="1" applyAlignment="1">
      <alignment horizontal="right" readingOrder="2"/>
    </xf>
  </cellXfs>
  <cellStyles count="4">
    <cellStyle name="Comma" xfId="2" builtinId="3"/>
    <cellStyle name="Normal" xfId="0" builtinId="0" customBuiltin="1"/>
    <cellStyle name="Percent" xfId="1" builtinId="5"/>
    <cellStyle name="عنوان" xfId="3" builtinId="15" customBuiltin="1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numFmt numFmtId="167" formatCode="#,##0.00_-;[Red]\(\ ###0.00\)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8" formatCode="#,##0.00_-;[Red]#,##0.00\-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alignment horizontal="left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8" formatCode="#,##0.00_-;[Red]#,##0.00\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2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2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numFmt numFmtId="166" formatCode="0.0%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2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7" formatCode="#,##0.00_-;[Red]\(\ ###0.0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numFmt numFmtId="168" formatCode="#,##0.00_-;[Red]#,##0.00\-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8" formatCode="#,##0.00_-;[Red]#,##0.00\-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8" formatCode="#,##0.00_-;[Red]#,##0.00\-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8" formatCode="#,##0.00_-;[Red]#,##0.00\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7" formatCode="#,##0.00_-;[Red]\(\ ###0.00\)"/>
      <fill>
        <patternFill patternType="none">
          <fgColor indexed="64"/>
          <bgColor indexed="65"/>
        </patternFill>
      </fill>
      <alignment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numFmt numFmtId="167" formatCode="#,##0.00_-;[Red]\(\ ###0.00\)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8" formatCode="#,##0.00_-;[Red]#,##0.00\-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alignment horizontal="left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textRotation="0" wrapText="0" indent="0" justifyLastLine="0" shrinkToFit="0" readingOrder="2"/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8" formatCode="#,##0.00_-;[Red]#,##0.00\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2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numFmt numFmtId="167" formatCode="#,##0.00_-;[Red]\(\ ###0.00\)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8" formatCode="#,##0.00_-;[Red]#,##0.00\-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alignment horizontal="left" vertical="bottom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2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2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  <numFmt numFmtId="2" formatCode="0.00"/>
      <alignment horizontal="lef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scheme val="none"/>
      </font>
      <numFmt numFmtId="168" formatCode="#,##0.00_-;[Red]#,##0.00\-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name val="Tahoma"/>
        <scheme val="none"/>
      </font>
    </dxf>
    <dxf>
      <fill>
        <patternFill patternType="solid">
          <fgColor theme="4" tint="0.59999389629810485"/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 val="0"/>
        <i val="0"/>
        <color theme="1"/>
      </font>
      <fill>
        <patternFill patternType="solid">
          <fgColor theme="4"/>
          <bgColor theme="8" tint="0.59996337778862885"/>
        </patternFill>
      </fill>
      <border>
        <top style="thin">
          <color theme="0"/>
        </top>
      </border>
    </dxf>
    <dxf>
      <font>
        <color theme="3"/>
      </font>
      <fill>
        <patternFill patternType="solid">
          <fgColor theme="4"/>
          <bgColor theme="7" tint="0.39994506668294322"/>
        </patternFill>
      </fill>
      <border>
        <bottom style="thin">
          <color theme="0"/>
        </bottom>
      </border>
    </dxf>
    <dxf>
      <font>
        <b val="0"/>
        <i val="0"/>
        <color theme="1"/>
      </font>
      <fill>
        <patternFill patternType="solid">
          <fgColor theme="4" tint="0.79979857783745845"/>
          <bgColor theme="8" tint="0.7999816888943144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1" defaultTableStyle="Monthly Budget" defaultPivotStyle="PivotStyleLight16">
    <tableStyle name="Monthly Budget" pivot="0" count="5">
      <tableStyleElement type="wholeTable" dxfId="64"/>
      <tableStyleElement type="headerRow" dxfId="63"/>
      <tableStyleElement type="totalRow" dxfId="62"/>
      <tableStyleElement type="lastColumn" dxfId="61"/>
      <tableStyleElement type="firstRowStripe" dxfId="6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S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solidFill>
                  <a:schemeClr val="bg2">
                    <a:lumMod val="50000"/>
                  </a:schemeClr>
                </a:solidFill>
              </a:defRPr>
            </a:pPr>
            <a:r>
              <a:rPr lang="ar-SA">
                <a:solidFill>
                  <a:schemeClr val="bg2">
                    <a:lumMod val="50000"/>
                  </a:schemeClr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نظرة عامة على الميزانية</a:t>
            </a:r>
          </a:p>
        </c:rich>
      </c:tx>
      <c:layout>
        <c:manualLayout>
          <c:xMode val="edge"/>
          <c:yMode val="edge"/>
          <c:x val="0.45990414935509477"/>
          <c:y val="0.10473320658157506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'الميزانية الشهرية'!$B$6</c:f>
              <c:strCache>
                <c:ptCount val="1"/>
                <c:pt idx="0">
                  <c:v>الدخل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/>
              </a:solidFill>
            </a:ln>
            <a:effectLst>
              <a:outerShdw blurRad="50800" dist="12700" dir="5400000" algn="ctr" rotWithShape="0">
                <a:srgbClr val="000000">
                  <a:alpha val="40000"/>
                </a:srgbClr>
              </a:outerShdw>
            </a:effectLst>
          </c:spPr>
          <c:invertIfNegative val="0"/>
          <c:cat>
            <c:strRef>
              <c:f>'الميزانية الشهرية'!$C$5:$D$5</c:f>
              <c:strCache>
                <c:ptCount val="2"/>
                <c:pt idx="0">
                  <c:v>المقدر</c:v>
                </c:pt>
                <c:pt idx="1">
                  <c:v>الفعلي</c:v>
                </c:pt>
              </c:strCache>
            </c:strRef>
          </c:cat>
          <c:val>
            <c:numRef>
              <c:f>'الميزانية الشهرية'!$C$6:$D$6</c:f>
              <c:numCache>
                <c:formatCode>0.00</c:formatCode>
                <c:ptCount val="2"/>
                <c:pt idx="0">
                  <c:v>63300</c:v>
                </c:pt>
                <c:pt idx="1">
                  <c:v>57450</c:v>
                </c:pt>
              </c:numCache>
            </c:numRef>
          </c:val>
        </c:ser>
        <c:ser>
          <c:idx val="1"/>
          <c:order val="1"/>
          <c:tx>
            <c:strRef>
              <c:f>'الميزانية الشهرية'!$B$7</c:f>
              <c:strCache>
                <c:ptCount val="1"/>
                <c:pt idx="0">
                  <c:v>المصاريف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solidFill>
                <a:schemeClr val="accent5"/>
              </a:solidFill>
            </a:ln>
            <a:effectLst>
              <a:outerShdw blurRad="50800" dist="12700" dir="5400000" algn="ctr" rotWithShape="0">
                <a:srgbClr val="000000">
                  <a:alpha val="40000"/>
                </a:srgbClr>
              </a:outerShdw>
            </a:effectLst>
          </c:spPr>
          <c:invertIfNegative val="0"/>
          <c:cat>
            <c:strRef>
              <c:f>'الميزانية الشهرية'!$C$5:$D$5</c:f>
              <c:strCache>
                <c:ptCount val="2"/>
                <c:pt idx="0">
                  <c:v>المقدر</c:v>
                </c:pt>
                <c:pt idx="1">
                  <c:v>الفعلي</c:v>
                </c:pt>
              </c:strCache>
            </c:strRef>
          </c:cat>
          <c:val>
            <c:numRef>
              <c:f>'الميزانية الشهرية'!$C$7:$D$7</c:f>
              <c:numCache>
                <c:formatCode>0.00</c:formatCode>
                <c:ptCount val="2"/>
                <c:pt idx="0">
                  <c:v>54500</c:v>
                </c:pt>
                <c:pt idx="1">
                  <c:v>49630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3"/>
        <c:axId val="325474480"/>
        <c:axId val="325476440"/>
      </c:barChart>
      <c:catAx>
        <c:axId val="325474480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ar-SA"/>
          </a:p>
        </c:txPr>
        <c:crossAx val="325476440"/>
        <c:crosses val="autoZero"/>
        <c:auto val="1"/>
        <c:lblAlgn val="ctr"/>
        <c:lblOffset val="100"/>
        <c:noMultiLvlLbl val="0"/>
      </c:catAx>
      <c:valAx>
        <c:axId val="325476440"/>
        <c:scaling>
          <c:orientation val="minMax"/>
        </c:scaling>
        <c:delete val="0"/>
        <c:axPos val="r"/>
        <c:majorGridlines/>
        <c:numFmt formatCode="#,##0.00" sourceLinked="0"/>
        <c:majorTickMark val="out"/>
        <c:minorTickMark val="none"/>
        <c:tickLblPos val="nextTo"/>
        <c:txPr>
          <a:bodyPr/>
          <a:lstStyle/>
          <a:p>
            <a:pPr rtl="1">
              <a:defRPr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ar-SA"/>
          </a:p>
        </c:txPr>
        <c:crossAx val="32547448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2.6271911884131374E-2"/>
          <c:y val="0.11413920621596271"/>
          <c:w val="0.22490337474143743"/>
          <c:h val="6.1405072993619622E-2"/>
        </c:manualLayout>
      </c:layout>
      <c:overlay val="0"/>
      <c:txPr>
        <a:bodyPr/>
        <a:lstStyle/>
        <a:p>
          <a:pPr>
            <a:defRPr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ar-SA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9</xdr:row>
      <xdr:rowOff>180976</xdr:rowOff>
    </xdr:from>
    <xdr:to>
      <xdr:col>4</xdr:col>
      <xdr:colOff>1416844</xdr:colOff>
      <xdr:row>29</xdr:row>
      <xdr:rowOff>119062</xdr:rowOff>
    </xdr:to>
    <xdr:graphicFrame macro="">
      <xdr:nvGraphicFramePr>
        <xdr:cNvPr id="6" name="BudgetOverview" title="Budget Overview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ly%20Budge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 Budget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id="2" name="OperatingExpensesTable" displayName="OperatingExpensesTable" ref="H19:L40" totalsRowCount="1" headerRowDxfId="59" dataDxfId="58" totalsRowDxfId="57">
  <autoFilter ref="H19:L39"/>
  <sortState ref="H17:L37">
    <sortCondition ref="H16:H37"/>
  </sortState>
  <tableColumns count="5">
    <tableColumn id="1" name="مصاريف التشغيل" totalsRowLabel="إجمالي التشغيل" dataDxfId="56" totalsRowDxfId="55"/>
    <tableColumn id="2" name="المقدر" totalsRowFunction="sum" dataDxfId="54" totalsRowDxfId="53"/>
    <tableColumn id="3" name="الفعلي" totalsRowFunction="sum" dataDxfId="52" totalsRowDxfId="51"/>
    <tableColumn id="5" name="أعلى خمسة مبالغ" dataDxfId="50" totalsRowDxfId="49">
      <calculatedColumnFormula>OperatingExpensesTable[[#This Row],[الفعلي]]+(10^-6)*ROW(OperatingExpensesTable[[#This Row],[الفعلي]])</calculatedColumnFormula>
    </tableColumn>
    <tableColumn id="4" name="الفرق" totalsRowFunction="sum" dataDxfId="48" totalsRowDxfId="47">
      <calculatedColumnFormula>OperatingExpensesTable[[#This Row],[المقدر]]-OperatingExpensesTable[[#This Row],[الفعلي]]</calculatedColumnFormula>
    </tableColumn>
  </tableColumns>
  <tableStyleInfo name="Monthly Budget" showFirstColumn="0" showLastColumn="0" showRowStripes="0" showColumnStripes="0"/>
  <extLst>
    <ext xmlns:x14="http://schemas.microsoft.com/office/spreadsheetml/2009/9/main" uri="{504A1905-F514-4f6f-8877-14C23A59335A}">
      <x14:table altText="جدول مصاريف التشغيل" altTextSummary="يسرد مصاريف التشغيل للقيم المقدرة والفعلية إلى جانب فرق محسوب"/>
    </ext>
  </extLst>
</table>
</file>

<file path=xl/tables/table2.xml><?xml version="1.0" encoding="utf-8"?>
<table xmlns="http://schemas.openxmlformats.org/spreadsheetml/2006/main" id="3" name="IncomeTable" displayName="IncomeTable" ref="H5:L9" totalsRowCount="1" headerRowDxfId="46" dataDxfId="45" totalsRowDxfId="44" totalsRowCellStyle="Comma">
  <autoFilter ref="H5:L8"/>
  <tableColumns count="5">
    <tableColumn id="1" name="الدخل" totalsRowLabel="الإجمالي" dataDxfId="43" totalsRowDxfId="42"/>
    <tableColumn id="2" name="المقدر" totalsRowFunction="sum" dataDxfId="41" totalsRowDxfId="40" dataCellStyle="Comma"/>
    <tableColumn id="3" name="الفعلي" totalsRowFunction="sum" dataDxfId="39" totalsRowDxfId="38" dataCellStyle="Comma"/>
    <tableColumn id="5" name="أعلى خمسة مبالغ" dataDxfId="37" totalsRowDxfId="36" dataCellStyle="Comma">
      <calculatedColumnFormula>IncomeTable[[#This Row],[الفعلي]]+(10^-6)*ROW(IncomeTable[[#This Row],[الفعلي]])</calculatedColumnFormula>
    </tableColumn>
    <tableColumn id="4" name="الفرق" totalsRowFunction="sum" dataDxfId="35" totalsRowDxfId="34" dataCellStyle="Comma">
      <calculatedColumnFormula>IncomeTable[[#This Row],[الفعلي]]-IncomeTable[[#This Row],[المقدر]]</calculatedColumnFormula>
    </tableColumn>
  </tableColumns>
  <tableStyleInfo name="Monthly Budget" showFirstColumn="0" showLastColumn="0" showRowStripes="0" showColumnStripes="0"/>
  <extLst>
    <ext xmlns:x14="http://schemas.microsoft.com/office/spreadsheetml/2009/9/main" uri="{504A1905-F514-4f6f-8877-14C23A59335A}">
      <x14:table altText="جدول الدخل" altTextSummary="يسرد مصادر الدخل للقيم المقدرة والفعلية إلى جانب فرق محسوب"/>
    </ext>
  </extLst>
</table>
</file>

<file path=xl/tables/table3.xml><?xml version="1.0" encoding="utf-8"?>
<table xmlns="http://schemas.openxmlformats.org/spreadsheetml/2006/main" id="4" name="TotalsTable" displayName="TotalsTable" ref="B5:E8" totalsRowCount="1" headerRowDxfId="33" dataDxfId="32" totalsRowDxfId="31">
  <autoFilter ref="B5:E7"/>
  <tableColumns count="4">
    <tableColumn id="1" name="إجماليات الميزانية" totalsRowLabel="الرصيد (الدخل مطروحاً منه المصاريف)" dataDxfId="30" totalsRowDxfId="29"/>
    <tableColumn id="2" name="المقدر" totalsRowFunction="custom" dataDxfId="28" totalsRowDxfId="27">
      <totalsRowFormula>C6-C7</totalsRowFormula>
    </tableColumn>
    <tableColumn id="3" name="الفعلي" totalsRowFunction="custom" dataDxfId="26" totalsRowDxfId="25">
      <totalsRowFormula>D6-D7</totalsRowFormula>
    </tableColumn>
    <tableColumn id="4" name="الفرق" totalsRowFunction="custom" dataDxfId="24" totalsRowDxfId="23">
      <calculatedColumnFormula>TotalsTable[[#This Row],[المقدر]]-TotalsTable[[#This Row],[الفعلي]]</calculatedColumnFormula>
      <totalsRowFormula>TotalsTable[[#Totals],[الفعلي]]-TotalsTable[[#Totals],[المقدر]]</totalsRowFormula>
    </tableColumn>
  </tableColumns>
  <tableStyleInfo name="Monthly Budget" showFirstColumn="0" showLastColumn="1" showRowStripes="0" showColumnStripes="0"/>
  <extLst>
    <ext xmlns:x14="http://schemas.microsoft.com/office/spreadsheetml/2009/9/main" uri="{504A1905-F514-4f6f-8877-14C23A59335A}">
      <x14:table altText="جدول إجماليات الموازنة" altTextSummary="جدول يجمع الإجمالي المقدر والدخل الفعلي والمصاريف من الجداول الأخرى في ورقة العمل، ويحسب الفرق ويوفر الرصيد (الدخل مطروحاً منه المصاريف)"/>
    </ext>
  </extLst>
</table>
</file>

<file path=xl/tables/table4.xml><?xml version="1.0" encoding="utf-8"?>
<table xmlns="http://schemas.openxmlformats.org/spreadsheetml/2006/main" id="1" name="Top5Expenses" displayName="Top5Expenses" ref="B33:E39" totalsRowCount="1" headerRowDxfId="22" dataDxfId="21">
  <tableColumns count="4">
    <tableColumn id="1" name="المصاريف" totalsRowLabel="الإجمالي" dataDxfId="20" totalsRowDxfId="19">
      <calculatedColumnFormula>INDEX(OperatingExpensesTable[],MATCH(Top5Expenses[[#This Row],[المبلغ]],OperatingExpensesTable[أعلى خمسة مبالغ],0),1)</calculatedColumnFormula>
    </tableColumn>
    <tableColumn id="2" name="المبلغ" totalsRowFunction="sum" dataDxfId="18" totalsRowDxfId="17">
      <calculatedColumnFormula>LARGE(OperatingExpensesTable[أعلى خمسة مبالغ],2)</calculatedColumnFormula>
    </tableColumn>
    <tableColumn id="3" name="نسبة المصاريف" totalsRowFunction="sum" dataDxfId="16" totalsRowDxfId="15">
      <calculatedColumnFormula>Top5Expenses[[#This Row],[المبلغ]]/$D$7</calculatedColumnFormula>
    </tableColumn>
    <tableColumn id="4" name="15% خصم" totalsRowFunction="sum" dataDxfId="14" totalsRowDxfId="13">
      <calculatedColumnFormula>Top5Expenses[[#This Row],[المبلغ]]*0.15</calculatedColumnFormula>
    </tableColumn>
  </tableColumns>
  <tableStyleInfo name="Monthly Budget" showFirstColumn="0" showLastColumn="0" showRowStripes="0" showColumnStripes="0"/>
  <extLst>
    <ext xmlns:x14="http://schemas.microsoft.com/office/spreadsheetml/2009/9/main" uri="{504A1905-F514-4f6f-8877-14C23A59335A}">
      <x14:table altText="أعلى خمسة مصاريف تشغيل" altTextSummary="الجدول الذي يوفر أعلى خمسة مصاريف تشغيل ونسبة المصاريف و15% خصم لتحليل المدخرات المحتملة"/>
    </ext>
  </extLst>
</table>
</file>

<file path=xl/tables/table5.xml><?xml version="1.0" encoding="utf-8"?>
<table xmlns="http://schemas.openxmlformats.org/spreadsheetml/2006/main" id="5" name="PersonnelExpensesTable" displayName="PersonnelExpensesTable" ref="H12:L16" totalsRowCount="1" headerRowDxfId="12" dataDxfId="11" totalsRowDxfId="10">
  <autoFilter ref="H12:L15"/>
  <tableColumns count="5">
    <tableColumn id="1" name="مصاريف الموظف" totalsRowLabel="إجمالي الموظف" dataDxfId="9" totalsRowDxfId="8"/>
    <tableColumn id="2" name="المقدر" totalsRowFunction="sum" dataDxfId="7" totalsRowDxfId="6"/>
    <tableColumn id="3" name="الفعلي" totalsRowFunction="sum" dataDxfId="5" totalsRowDxfId="4"/>
    <tableColumn id="4" name="أعلى خمسة مبالغ" dataDxfId="3" totalsRowDxfId="2">
      <calculatedColumnFormula>PersonnelExpensesTable[[#This Row],[الفعلي]]+(10^-6)*ROW(PersonnelExpensesTable[[#This Row],[الفعلي]])</calculatedColumnFormula>
    </tableColumn>
    <tableColumn id="5" name="الفرق" totalsRowFunction="sum" dataDxfId="1" totalsRowDxfId="0">
      <calculatedColumnFormula>PersonnelExpensesTable[[#This Row],[المقدر]]-PersonnelExpensesTable[[#This Row],[الفعلي]]</calculatedColumnFormula>
    </tableColumn>
  </tableColumns>
  <tableStyleInfo name="Monthly Budget" showFirstColumn="0" showLastColumn="0" showRowStripes="0" showColumnStripes="0"/>
  <extLst>
    <ext xmlns:x14="http://schemas.microsoft.com/office/spreadsheetml/2009/9/main" uri="{504A1905-F514-4f6f-8877-14C23A59335A}">
      <x14:table altText="جدول مصاريف الموظف" altTextSummary="يسرد مصاريف الموظف للقيم المقدرة والفعلية إلى جانب فرق محسوب"/>
    </ext>
  </extLst>
</table>
</file>

<file path=xl/theme/theme1.xml><?xml version="1.0" encoding="utf-8"?>
<a:theme xmlns:a="http://schemas.openxmlformats.org/drawingml/2006/main" name="Thatch">
  <a:themeElements>
    <a:clrScheme name="Small Business Budget">
      <a:dk1>
        <a:sysClr val="windowText" lastClr="000000"/>
      </a:dk1>
      <a:lt1>
        <a:sysClr val="window" lastClr="FFFFFF"/>
      </a:lt1>
      <a:dk2>
        <a:srgbClr val="355A61"/>
      </a:dk2>
      <a:lt2>
        <a:srgbClr val="DBE3E9"/>
      </a:lt2>
      <a:accent1>
        <a:srgbClr val="62799E"/>
      </a:accent1>
      <a:accent2>
        <a:srgbClr val="B3C035"/>
      </a:accent2>
      <a:accent3>
        <a:srgbClr val="908F74"/>
      </a:accent3>
      <a:accent4>
        <a:srgbClr val="7EA67F"/>
      </a:accent4>
      <a:accent5>
        <a:srgbClr val="5588A5"/>
      </a:accent5>
      <a:accent6>
        <a:srgbClr val="559592"/>
      </a:accent6>
      <a:hlink>
        <a:srgbClr val="66AACD"/>
      </a:hlink>
      <a:folHlink>
        <a:srgbClr val="809DB3"/>
      </a:folHlink>
    </a:clrScheme>
    <a:fontScheme name="Small Business Budget">
      <a:majorFont>
        <a:latin typeface="Gill Sans MT"/>
        <a:ea typeface=""/>
        <a:cs typeface=""/>
      </a:majorFont>
      <a:minorFont>
        <a:latin typeface="Gill Sans MT"/>
        <a:ea typeface=""/>
        <a:cs typeface=""/>
      </a:minorFont>
    </a:fontScheme>
    <a:fmtScheme name="Thatch">
      <a:fillStyleLst>
        <a:solidFill>
          <a:schemeClr val="phClr"/>
        </a:solidFill>
        <a:gradFill rotWithShape="1">
          <a:gsLst>
            <a:gs pos="0">
              <a:schemeClr val="phClr">
                <a:tint val="79000"/>
                <a:satMod val="180000"/>
              </a:schemeClr>
            </a:gs>
            <a:gs pos="65000">
              <a:schemeClr val="phClr">
                <a:tint val="52000"/>
                <a:satMod val="250000"/>
              </a:schemeClr>
            </a:gs>
            <a:gs pos="100000">
              <a:schemeClr val="phClr">
                <a:tint val="29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brightRoom" dir="t">
              <a:rot lat="0" lon="0" rev="8700000"/>
            </a:lightRig>
          </a:scene3d>
          <a:sp3d contourW="12700" prstMaterial="dkEdge">
            <a:bevelT w="0" h="0" prst="relaxedInset"/>
            <a:contourClr>
              <a:schemeClr val="phClr">
                <a:shade val="65000"/>
                <a:satMod val="150000"/>
              </a:schemeClr>
            </a:contourClr>
          </a:sp3d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13200000"/>
            </a:lightRig>
          </a:scene3d>
          <a:sp3d prstMaterial="dkEdge">
            <a:bevelT w="63500" h="50800" prst="relaxedIns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5000"/>
                <a:shade val="95000"/>
                <a:satMod val="200000"/>
              </a:schemeClr>
            </a:gs>
            <a:gs pos="53000">
              <a:schemeClr val="phClr">
                <a:shade val="60000"/>
                <a:satMod val="220000"/>
              </a:schemeClr>
            </a:gs>
            <a:gs pos="100000">
              <a:schemeClr val="phClr">
                <a:shade val="45000"/>
                <a:satMod val="22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3000"/>
                <a:shade val="97000"/>
                <a:satMod val="230000"/>
              </a:schemeClr>
            </a:gs>
            <a:gs pos="100000">
              <a:schemeClr val="phClr">
                <a:shade val="35000"/>
                <a:satMod val="250000"/>
              </a:schemeClr>
            </a:gs>
          </a:gsLst>
          <a:path path="circle">
            <a:fillToRect l="15000" t="50000" r="85000" b="6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A1:M42"/>
  <sheetViews>
    <sheetView showGridLines="0" rightToLeft="1" tabSelected="1" zoomScale="80" zoomScaleNormal="80" workbookViewId="0"/>
  </sheetViews>
  <sheetFormatPr defaultColWidth="9" defaultRowHeight="16" customHeight="1" x14ac:dyDescent="0.3"/>
  <cols>
    <col min="1" max="1" width="2.90625" style="14" customWidth="1"/>
    <col min="2" max="2" width="37.453125" style="14" customWidth="1"/>
    <col min="3" max="3" width="13.7265625" style="14" customWidth="1"/>
    <col min="4" max="4" width="13" style="14" bestFit="1" customWidth="1"/>
    <col min="5" max="5" width="19" style="14" customWidth="1"/>
    <col min="6" max="6" width="2.6328125" style="14" customWidth="1"/>
    <col min="7" max="7" width="3.7265625" style="17" customWidth="1"/>
    <col min="8" max="8" width="30.26953125" style="17" customWidth="1"/>
    <col min="9" max="10" width="17.26953125" style="39" customWidth="1"/>
    <col min="11" max="11" width="15.36328125" style="17" hidden="1" customWidth="1"/>
    <col min="12" max="12" width="17.26953125" style="32" customWidth="1"/>
    <col min="13" max="13" width="3.7265625" style="17" customWidth="1"/>
    <col min="14" max="14" width="12.26953125" style="18" customWidth="1"/>
    <col min="15" max="16" width="12.08984375" style="18" customWidth="1"/>
    <col min="17" max="16384" width="9" style="18"/>
  </cols>
  <sheetData>
    <row r="1" spans="1:13" s="1" customFormat="1" ht="16" customHeight="1" x14ac:dyDescent="0.3">
      <c r="I1" s="35"/>
      <c r="J1" s="35"/>
      <c r="L1" s="29"/>
    </row>
    <row r="2" spans="1:13" s="1" customFormat="1" ht="30.75" customHeight="1" x14ac:dyDescent="0.4">
      <c r="B2" s="2" t="s">
        <v>45</v>
      </c>
      <c r="C2" s="3"/>
      <c r="D2" s="3"/>
      <c r="E2" s="3"/>
      <c r="F2" s="3"/>
      <c r="G2" s="3"/>
      <c r="H2" s="3"/>
      <c r="I2" s="36"/>
      <c r="J2" s="37"/>
      <c r="K2" s="4"/>
      <c r="L2" s="30"/>
      <c r="M2" s="5"/>
    </row>
    <row r="3" spans="1:13" s="1" customFormat="1" ht="42" customHeight="1" x14ac:dyDescent="0.8">
      <c r="B3" s="6" t="s">
        <v>32</v>
      </c>
      <c r="C3" s="7"/>
      <c r="D3" s="7"/>
      <c r="E3" s="7"/>
      <c r="F3" s="7"/>
      <c r="G3" s="7"/>
      <c r="H3" s="7"/>
      <c r="I3" s="36"/>
      <c r="J3" s="35"/>
      <c r="K3" s="4"/>
      <c r="L3" s="54">
        <v>40603</v>
      </c>
      <c r="M3" s="54"/>
    </row>
    <row r="5" spans="1:13" s="13" customFormat="1" ht="21.75" customHeight="1" x14ac:dyDescent="0.5">
      <c r="A5" s="8"/>
      <c r="B5" s="9" t="s">
        <v>31</v>
      </c>
      <c r="C5" s="10" t="s">
        <v>20</v>
      </c>
      <c r="D5" s="10" t="s">
        <v>21</v>
      </c>
      <c r="E5" s="10" t="s">
        <v>22</v>
      </c>
      <c r="F5" s="11"/>
      <c r="G5" s="12"/>
      <c r="H5" s="25" t="s">
        <v>23</v>
      </c>
      <c r="I5" s="38" t="s">
        <v>20</v>
      </c>
      <c r="J5" s="38" t="s">
        <v>21</v>
      </c>
      <c r="K5" s="10" t="s">
        <v>24</v>
      </c>
      <c r="L5" s="31" t="s">
        <v>22</v>
      </c>
      <c r="M5" s="12"/>
    </row>
    <row r="6" spans="1:13" ht="16.5" customHeight="1" x14ac:dyDescent="0.3">
      <c r="B6" s="15" t="s">
        <v>14</v>
      </c>
      <c r="C6" s="40">
        <f>I9</f>
        <v>63300</v>
      </c>
      <c r="D6" s="40">
        <f>J9</f>
        <v>57450</v>
      </c>
      <c r="E6" s="46">
        <f>TotalsTable[[#This Row],[الفعلي]]-TotalsTable[[#This Row],[المقدر]]</f>
        <v>-5850</v>
      </c>
      <c r="F6" s="16"/>
      <c r="H6" s="15" t="s">
        <v>42</v>
      </c>
      <c r="I6" s="40">
        <v>60000</v>
      </c>
      <c r="J6" s="40">
        <v>54000</v>
      </c>
      <c r="K6" s="45">
        <f>IncomeTable[[#This Row],[الفعلي]]+(10^-6)*ROW(IncomeTable[[#This Row],[الفعلي]])</f>
        <v>54000.000006000002</v>
      </c>
      <c r="L6" s="46">
        <f>IncomeTable[[#This Row],[الفعلي]]-IncomeTable[[#This Row],[المقدر]]</f>
        <v>-6000</v>
      </c>
    </row>
    <row r="7" spans="1:13" ht="16.5" customHeight="1" x14ac:dyDescent="0.3">
      <c r="B7" s="15" t="s">
        <v>17</v>
      </c>
      <c r="C7" s="40">
        <f>I40+I16</f>
        <v>54500</v>
      </c>
      <c r="D7" s="40">
        <f>J40+J16</f>
        <v>49630</v>
      </c>
      <c r="E7" s="40">
        <f>TotalsTable[[#This Row],[المقدر]]-TotalsTable[[#This Row],[الفعلي]]</f>
        <v>4870</v>
      </c>
      <c r="F7" s="16"/>
      <c r="H7" s="15" t="s">
        <v>43</v>
      </c>
      <c r="I7" s="40">
        <v>3000</v>
      </c>
      <c r="J7" s="40">
        <v>3000</v>
      </c>
      <c r="K7" s="45">
        <f>IncomeTable[[#This Row],[الفعلي]]+(10^-6)*ROW(IncomeTable[[#This Row],[الفعلي]])</f>
        <v>3000.0000070000001</v>
      </c>
      <c r="L7" s="40">
        <f>IncomeTable[[#This Row],[الفعلي]]-IncomeTable[[#This Row],[المقدر]]</f>
        <v>0</v>
      </c>
    </row>
    <row r="8" spans="1:13" ht="16.5" customHeight="1" x14ac:dyDescent="0.3">
      <c r="B8" s="15" t="s">
        <v>35</v>
      </c>
      <c r="C8" s="50">
        <f>C6-C7</f>
        <v>8800</v>
      </c>
      <c r="D8" s="50">
        <f>D6-D7</f>
        <v>7820</v>
      </c>
      <c r="E8" s="51">
        <f>TotalsTable[[#Totals],[الفعلي]]-TotalsTable[[#Totals],[المقدر]]</f>
        <v>-980</v>
      </c>
      <c r="F8" s="19"/>
      <c r="H8" s="15" t="s">
        <v>44</v>
      </c>
      <c r="I8" s="40">
        <v>300</v>
      </c>
      <c r="J8" s="40">
        <v>450</v>
      </c>
      <c r="K8" s="45">
        <f>IncomeTable[[#This Row],[الفعلي]]+(10^-6)*ROW(IncomeTable[[#This Row],[الفعلي]])</f>
        <v>450.00000799999998</v>
      </c>
      <c r="L8" s="40">
        <f>IncomeTable[[#This Row],[الفعلي]]-IncomeTable[[#This Row],[المقدر]]</f>
        <v>150</v>
      </c>
    </row>
    <row r="9" spans="1:13" ht="16.5" customHeight="1" x14ac:dyDescent="0.3">
      <c r="H9" s="26" t="s">
        <v>13</v>
      </c>
      <c r="I9" s="42">
        <f>SUBTOTAL(109,IncomeTable[المقدر])</f>
        <v>63300</v>
      </c>
      <c r="J9" s="42">
        <f>SUBTOTAL(109,IncomeTable[الفعلي])</f>
        <v>57450</v>
      </c>
      <c r="K9" s="47"/>
      <c r="L9" s="49">
        <f>SUBTOTAL(109,IncomeTable[الفرق])</f>
        <v>-5850</v>
      </c>
    </row>
    <row r="10" spans="1:13" ht="16.5" customHeight="1" x14ac:dyDescent="0.3"/>
    <row r="11" spans="1:13" ht="21.75" customHeight="1" x14ac:dyDescent="0.3">
      <c r="H11" s="52"/>
      <c r="I11" s="52"/>
      <c r="J11" s="52"/>
      <c r="K11" s="52"/>
      <c r="L11" s="52"/>
    </row>
    <row r="12" spans="1:13" ht="16.5" customHeight="1" x14ac:dyDescent="0.3">
      <c r="H12" s="15" t="s">
        <v>25</v>
      </c>
      <c r="I12" s="33" t="s">
        <v>20</v>
      </c>
      <c r="J12" s="33" t="s">
        <v>21</v>
      </c>
      <c r="K12" s="20" t="s">
        <v>19</v>
      </c>
      <c r="L12" s="27" t="s">
        <v>22</v>
      </c>
    </row>
    <row r="13" spans="1:13" ht="16.5" customHeight="1" x14ac:dyDescent="0.3">
      <c r="H13" s="15" t="s">
        <v>15</v>
      </c>
      <c r="I13" s="40">
        <v>9500</v>
      </c>
      <c r="J13" s="40">
        <v>9600</v>
      </c>
      <c r="K13" s="48">
        <f>PersonnelExpensesTable[[#This Row],[الفعلي]]+(10^-6)*ROW(PersonnelExpensesTable[[#This Row],[الفعلي]])</f>
        <v>9600.0000130000008</v>
      </c>
      <c r="L13" s="46">
        <f>PersonnelExpensesTable[[#This Row],[المقدر]]-PersonnelExpensesTable[[#This Row],[الفعلي]]</f>
        <v>-100</v>
      </c>
    </row>
    <row r="14" spans="1:13" ht="16.5" customHeight="1" x14ac:dyDescent="0.3">
      <c r="H14" s="15" t="s">
        <v>36</v>
      </c>
      <c r="I14" s="40">
        <v>4000</v>
      </c>
      <c r="J14" s="40"/>
      <c r="K14" s="48">
        <f>PersonnelExpensesTable[[#This Row],[الفعلي]]+(10^-6)*ROW(PersonnelExpensesTable[[#This Row],[الفعلي]])</f>
        <v>1.4E-5</v>
      </c>
      <c r="L14" s="40">
        <f>PersonnelExpensesTable[[#This Row],[المقدر]]-PersonnelExpensesTable[[#This Row],[الفعلي]]</f>
        <v>4000</v>
      </c>
    </row>
    <row r="15" spans="1:13" ht="16.5" customHeight="1" x14ac:dyDescent="0.3">
      <c r="H15" s="15" t="s">
        <v>16</v>
      </c>
      <c r="I15" s="40">
        <v>5000</v>
      </c>
      <c r="J15" s="40">
        <v>4500</v>
      </c>
      <c r="K15" s="48">
        <f>PersonnelExpensesTable[[#This Row],[الفعلي]]+(10^-6)*ROW(PersonnelExpensesTable[[#This Row],[الفعلي]])</f>
        <v>4500.0000149999996</v>
      </c>
      <c r="L15" s="40">
        <f>PersonnelExpensesTable[[#This Row],[المقدر]]-PersonnelExpensesTable[[#This Row],[الفعلي]]</f>
        <v>500</v>
      </c>
    </row>
    <row r="16" spans="1:13" ht="16.5" customHeight="1" x14ac:dyDescent="0.3">
      <c r="H16" s="26" t="s">
        <v>18</v>
      </c>
      <c r="I16" s="42">
        <f>SUBTOTAL(109,PersonnelExpensesTable[المقدر])</f>
        <v>18500</v>
      </c>
      <c r="J16" s="42">
        <f>SUBTOTAL(109,PersonnelExpensesTable[الفعلي])</f>
        <v>14100</v>
      </c>
      <c r="K16" s="47"/>
      <c r="L16" s="42">
        <f>SUBTOTAL(109,PersonnelExpensesTable[الفرق])</f>
        <v>4400</v>
      </c>
    </row>
    <row r="17" spans="2:12" ht="21.75" customHeight="1" x14ac:dyDescent="0.3"/>
    <row r="18" spans="2:12" ht="16.5" customHeight="1" x14ac:dyDescent="0.3">
      <c r="H18" s="52"/>
      <c r="I18" s="52"/>
      <c r="J18" s="52"/>
      <c r="K18" s="52"/>
      <c r="L18" s="52"/>
    </row>
    <row r="19" spans="2:12" ht="16.5" customHeight="1" x14ac:dyDescent="0.3">
      <c r="H19" s="15" t="s">
        <v>26</v>
      </c>
      <c r="I19" s="34" t="s">
        <v>20</v>
      </c>
      <c r="J19" s="34" t="s">
        <v>21</v>
      </c>
      <c r="K19" s="20" t="s">
        <v>19</v>
      </c>
      <c r="L19" s="28" t="s">
        <v>22</v>
      </c>
    </row>
    <row r="20" spans="2:12" ht="16.5" customHeight="1" x14ac:dyDescent="0.3">
      <c r="H20" s="15" t="s">
        <v>1</v>
      </c>
      <c r="I20" s="40">
        <v>3000</v>
      </c>
      <c r="J20" s="40">
        <v>2500</v>
      </c>
      <c r="K20" s="45">
        <f>OperatingExpensesTable[[#This Row],[الفعلي]]+(10^-6)*ROW(OperatingExpensesTable[[#This Row],[الفعلي]])</f>
        <v>2500.0000199999999</v>
      </c>
      <c r="L20" s="40">
        <f>OperatingExpensesTable[[#This Row],[المقدر]]-OperatingExpensesTable[[#This Row],[الفعلي]]</f>
        <v>500</v>
      </c>
    </row>
    <row r="21" spans="2:12" ht="16.5" customHeight="1" x14ac:dyDescent="0.3">
      <c r="H21" s="15" t="s">
        <v>37</v>
      </c>
      <c r="I21" s="40">
        <v>2000</v>
      </c>
      <c r="J21" s="40">
        <v>2000</v>
      </c>
      <c r="K21" s="45">
        <f>OperatingExpensesTable[[#This Row],[الفعلي]]+(10^-6)*ROW(OperatingExpensesTable[[#This Row],[الفعلي]])</f>
        <v>2000.0000210000001</v>
      </c>
      <c r="L21" s="40">
        <f>OperatingExpensesTable[[#This Row],[المقدر]]-OperatingExpensesTable[[#This Row],[الفعلي]]</f>
        <v>0</v>
      </c>
    </row>
    <row r="22" spans="2:12" ht="16.5" customHeight="1" x14ac:dyDescent="0.3">
      <c r="H22" s="15" t="s">
        <v>38</v>
      </c>
      <c r="I22" s="40">
        <v>1500</v>
      </c>
      <c r="J22" s="40">
        <v>2175</v>
      </c>
      <c r="K22" s="45">
        <f>OperatingExpensesTable[[#This Row],[الفعلي]]+(10^-6)*ROW(OperatingExpensesTable[[#This Row],[الفعلي]])</f>
        <v>2175.0000220000002</v>
      </c>
      <c r="L22" s="46">
        <f>OperatingExpensesTable[[#This Row],[المقدر]]-OperatingExpensesTable[[#This Row],[الفعلي]]</f>
        <v>-675</v>
      </c>
    </row>
    <row r="23" spans="2:12" ht="16.5" customHeight="1" x14ac:dyDescent="0.3">
      <c r="H23" s="15" t="s">
        <v>46</v>
      </c>
      <c r="I23" s="40">
        <v>2000</v>
      </c>
      <c r="J23" s="40">
        <v>1500</v>
      </c>
      <c r="K23" s="45">
        <f>OperatingExpensesTable[[#This Row],[الفعلي]]+(10^-6)*ROW(OperatingExpensesTable[[#This Row],[الفعلي]])</f>
        <v>1500.0000230000001</v>
      </c>
      <c r="L23" s="40">
        <f>OperatingExpensesTable[[#This Row],[المقدر]]-OperatingExpensesTable[[#This Row],[الفعلي]]</f>
        <v>500</v>
      </c>
    </row>
    <row r="24" spans="2:12" ht="16.5" customHeight="1" x14ac:dyDescent="0.3">
      <c r="H24" s="15" t="s">
        <v>2</v>
      </c>
      <c r="I24" s="40">
        <v>1000</v>
      </c>
      <c r="J24" s="40">
        <v>1000</v>
      </c>
      <c r="K24" s="45">
        <f>OperatingExpensesTable[[#This Row],[الفعلي]]+(10^-6)*ROW(OperatingExpensesTable[[#This Row],[الفعلي]])</f>
        <v>1000.0000240000001</v>
      </c>
      <c r="L24" s="40">
        <f>OperatingExpensesTable[[#This Row],[المقدر]]-OperatingExpensesTable[[#This Row],[الفعلي]]</f>
        <v>0</v>
      </c>
    </row>
    <row r="25" spans="2:12" ht="16.5" customHeight="1" x14ac:dyDescent="0.3">
      <c r="H25" s="15" t="s">
        <v>39</v>
      </c>
      <c r="I25" s="40">
        <v>500</v>
      </c>
      <c r="J25" s="40">
        <v>525</v>
      </c>
      <c r="K25" s="45">
        <f>OperatingExpensesTable[[#This Row],[الفعلي]]+(10^-6)*ROW(OperatingExpensesTable[[#This Row],[الفعلي]])</f>
        <v>525.00002500000005</v>
      </c>
      <c r="L25" s="46">
        <f>OperatingExpensesTable[[#This Row],[المقدر]]-OperatingExpensesTable[[#This Row],[الفعلي]]</f>
        <v>-25</v>
      </c>
    </row>
    <row r="26" spans="2:12" ht="16.5" customHeight="1" x14ac:dyDescent="0.3">
      <c r="F26" s="21"/>
      <c r="H26" s="15" t="s">
        <v>3</v>
      </c>
      <c r="I26" s="40">
        <v>1300</v>
      </c>
      <c r="J26" s="40">
        <v>1275</v>
      </c>
      <c r="K26" s="45">
        <f>OperatingExpensesTable[[#This Row],[الفعلي]]+(10^-6)*ROW(OperatingExpensesTable[[#This Row],[الفعلي]])</f>
        <v>1275.0000259999999</v>
      </c>
      <c r="L26" s="40">
        <f>OperatingExpensesTable[[#This Row],[المقدر]]-OperatingExpensesTable[[#This Row],[الفعلي]]</f>
        <v>25</v>
      </c>
    </row>
    <row r="27" spans="2:12" ht="16.5" customHeight="1" x14ac:dyDescent="0.3">
      <c r="E27" s="21"/>
      <c r="H27" s="15" t="s">
        <v>4</v>
      </c>
      <c r="I27" s="40">
        <v>2000</v>
      </c>
      <c r="J27" s="40">
        <v>2200</v>
      </c>
      <c r="K27" s="45">
        <f>OperatingExpensesTable[[#This Row],[الفعلي]]+(10^-6)*ROW(OperatingExpensesTable[[#This Row],[الفعلي]])</f>
        <v>2200.000027</v>
      </c>
      <c r="L27" s="46">
        <f>OperatingExpensesTable[[#This Row],[المقدر]]-OperatingExpensesTable[[#This Row],[الفعلي]]</f>
        <v>-200</v>
      </c>
    </row>
    <row r="28" spans="2:12" ht="16.5" customHeight="1" x14ac:dyDescent="0.3">
      <c r="D28" s="22"/>
      <c r="F28" s="21"/>
      <c r="H28" s="15" t="s">
        <v>40</v>
      </c>
      <c r="I28" s="40">
        <v>1000</v>
      </c>
      <c r="J28" s="40">
        <v>800</v>
      </c>
      <c r="K28" s="45">
        <f>OperatingExpensesTable[[#This Row],[الفعلي]]+(10^-6)*ROW(OperatingExpensesTable[[#This Row],[الفعلي]])</f>
        <v>800.00002800000004</v>
      </c>
      <c r="L28" s="40">
        <f>OperatingExpensesTable[[#This Row],[المقدر]]-OperatingExpensesTable[[#This Row],[الفعلي]]</f>
        <v>200</v>
      </c>
    </row>
    <row r="29" spans="2:12" ht="16.5" customHeight="1" x14ac:dyDescent="0.3">
      <c r="D29" s="22"/>
      <c r="F29" s="23"/>
      <c r="H29" s="15" t="s">
        <v>41</v>
      </c>
      <c r="I29" s="40">
        <v>4500</v>
      </c>
      <c r="J29" s="40">
        <v>4600</v>
      </c>
      <c r="K29" s="45">
        <f>OperatingExpensesTable[[#This Row],[الفعلي]]+(10^-6)*ROW(OperatingExpensesTable[[#This Row],[الفعلي]])</f>
        <v>4600.0000289999998</v>
      </c>
      <c r="L29" s="46">
        <f>OperatingExpensesTable[[#This Row],[المقدر]]-OperatingExpensesTable[[#This Row],[الفعلي]]</f>
        <v>-100</v>
      </c>
    </row>
    <row r="30" spans="2:12" ht="16.5" customHeight="1" x14ac:dyDescent="0.3">
      <c r="D30" s="22"/>
      <c r="F30" s="21"/>
      <c r="H30" s="15" t="s">
        <v>5</v>
      </c>
      <c r="I30" s="40">
        <v>800</v>
      </c>
      <c r="J30" s="40">
        <v>750</v>
      </c>
      <c r="K30" s="45">
        <f>OperatingExpensesTable[[#This Row],[الفعلي]]+(10^-6)*ROW(OperatingExpensesTable[[#This Row],[الفعلي]])</f>
        <v>750.00003000000004</v>
      </c>
      <c r="L30" s="40">
        <f>OperatingExpensesTable[[#This Row],[المقدر]]-OperatingExpensesTable[[#This Row],[الفعلي]]</f>
        <v>50</v>
      </c>
    </row>
    <row r="31" spans="2:12" ht="16.5" customHeight="1" x14ac:dyDescent="0.3">
      <c r="B31" s="53"/>
      <c r="C31" s="53"/>
      <c r="D31" s="53"/>
      <c r="E31" s="21"/>
      <c r="H31" s="15" t="s">
        <v>6</v>
      </c>
      <c r="I31" s="40">
        <v>400</v>
      </c>
      <c r="J31" s="40">
        <v>350</v>
      </c>
      <c r="K31" s="45">
        <f>OperatingExpensesTable[[#This Row],[الفعلي]]+(10^-6)*ROW(OperatingExpensesTable[[#This Row],[الفعلي]])</f>
        <v>350.00003099999998</v>
      </c>
      <c r="L31" s="40">
        <f>OperatingExpensesTable[[#This Row],[المقدر]]-OperatingExpensesTable[[#This Row],[الفعلي]]</f>
        <v>50</v>
      </c>
    </row>
    <row r="32" spans="2:12" ht="16.5" customHeight="1" x14ac:dyDescent="0.3">
      <c r="B32" s="24" t="s">
        <v>27</v>
      </c>
      <c r="C32" s="24"/>
      <c r="D32" s="24"/>
      <c r="E32" s="24"/>
      <c r="H32" s="15" t="s">
        <v>7</v>
      </c>
      <c r="I32" s="40">
        <v>4100</v>
      </c>
      <c r="J32" s="40">
        <v>4500</v>
      </c>
      <c r="K32" s="45">
        <f>OperatingExpensesTable[[#This Row],[الفعلي]]+(10^-6)*ROW(OperatingExpensesTable[[#This Row],[الفعلي]])</f>
        <v>4500.0000319999999</v>
      </c>
      <c r="L32" s="46">
        <f>OperatingExpensesTable[[#This Row],[المقدر]]-OperatingExpensesTable[[#This Row],[الفعلي]]</f>
        <v>-400</v>
      </c>
    </row>
    <row r="33" spans="2:12" ht="16.5" customHeight="1" x14ac:dyDescent="0.3">
      <c r="B33" s="9" t="s">
        <v>28</v>
      </c>
      <c r="C33" s="10" t="s">
        <v>29</v>
      </c>
      <c r="D33" s="10" t="s">
        <v>30</v>
      </c>
      <c r="E33" s="44" t="s">
        <v>34</v>
      </c>
      <c r="H33" s="15" t="s">
        <v>8</v>
      </c>
      <c r="I33" s="40">
        <v>350</v>
      </c>
      <c r="J33" s="40">
        <v>400</v>
      </c>
      <c r="K33" s="45">
        <f>OperatingExpensesTable[[#This Row],[الفعلي]]+(10^-6)*ROW(OperatingExpensesTable[[#This Row],[الفعلي]])</f>
        <v>400.00003299999997</v>
      </c>
      <c r="L33" s="46">
        <f>OperatingExpensesTable[[#This Row],[المقدر]]-OperatingExpensesTable[[#This Row],[الفعلي]]</f>
        <v>-50</v>
      </c>
    </row>
    <row r="34" spans="2:12" ht="16.5" customHeight="1" x14ac:dyDescent="0.3">
      <c r="B34" s="15" t="str">
        <f>INDEX(OperatingExpensesTable[],MATCH(Top5Expenses[[#This Row],[المبلغ]],OperatingExpensesTable[أعلى خمسة مبالغ],0),1)</f>
        <v>الصيانة والإصلاحات</v>
      </c>
      <c r="C34" s="40">
        <f>LARGE(OperatingExpensesTable[أعلى خمسة مبالغ],1)</f>
        <v>4600.0000289999998</v>
      </c>
      <c r="D34" s="41">
        <f>Top5Expenses[[#This Row],[المبلغ]]/$D$7</f>
        <v>9.26858760628652E-2</v>
      </c>
      <c r="E34" s="40">
        <f>Top5Expenses[[#This Row],[المبلغ]]*0.15</f>
        <v>690.00000434999993</v>
      </c>
      <c r="H34" s="15" t="s">
        <v>9</v>
      </c>
      <c r="I34" s="40">
        <v>900</v>
      </c>
      <c r="J34" s="40">
        <v>840</v>
      </c>
      <c r="K34" s="45">
        <f>OperatingExpensesTable[[#This Row],[الفعلي]]+(10^-6)*ROW(OperatingExpensesTable[[#This Row],[الفعلي]])</f>
        <v>840.00003400000003</v>
      </c>
      <c r="L34" s="40">
        <f>OperatingExpensesTable[[#This Row],[المقدر]]-OperatingExpensesTable[[#This Row],[الفعلي]]</f>
        <v>60</v>
      </c>
    </row>
    <row r="35" spans="2:12" ht="16.5" customHeight="1" x14ac:dyDescent="0.3">
      <c r="B35" s="15" t="str">
        <f>INDEX(OperatingExpensesTable[],MATCH(Top5Expenses[[#This Row],[المبلغ]],OperatingExpensesTable[أعلى خمسة مبالغ],0),1)</f>
        <v>التجهيزات</v>
      </c>
      <c r="C35" s="40">
        <f>LARGE(OperatingExpensesTable[أعلى خمسة مبالغ],2)</f>
        <v>4500.000035</v>
      </c>
      <c r="D35" s="41">
        <f>Top5Expenses[[#This Row],[المبلغ]]/$D$7</f>
        <v>9.0670965847269802E-2</v>
      </c>
      <c r="E35" s="40">
        <f>Top5Expenses[[#This Row],[المبلغ]]*0.15</f>
        <v>675.00000524999996</v>
      </c>
      <c r="H35" s="15" t="s">
        <v>10</v>
      </c>
      <c r="I35" s="40">
        <v>5000</v>
      </c>
      <c r="J35" s="40">
        <v>4500</v>
      </c>
      <c r="K35" s="45">
        <f>OperatingExpensesTable[[#This Row],[الفعلي]]+(10^-6)*ROW(OperatingExpensesTable[[#This Row],[الفعلي]])</f>
        <v>4500.000035</v>
      </c>
      <c r="L35" s="40">
        <f>OperatingExpensesTable[[#This Row],[المقدر]]-OperatingExpensesTable[[#This Row],[الفعلي]]</f>
        <v>500</v>
      </c>
    </row>
    <row r="36" spans="2:12" ht="16.5" customHeight="1" x14ac:dyDescent="0.3">
      <c r="B36" s="15" t="str">
        <f>INDEX(OperatingExpensesTable[],MATCH(Top5Expenses[[#This Row],[المبلغ]],OperatingExpensesTable[أعلى خمسة مبالغ],0),1)</f>
        <v>الإيجار أو الرهن</v>
      </c>
      <c r="C36" s="40">
        <f>LARGE(OperatingExpensesTable[أعلى خمسة مبالغ],3)</f>
        <v>4500.0000319999999</v>
      </c>
      <c r="D36" s="41">
        <f>Top5Expenses[[#This Row],[المبلغ]]/$D$7</f>
        <v>9.0670965786822488E-2</v>
      </c>
      <c r="E36" s="40">
        <f>Top5Expenses[[#This Row],[المبلغ]]*0.15</f>
        <v>675.00000479999994</v>
      </c>
      <c r="H36" s="15" t="s">
        <v>11</v>
      </c>
      <c r="I36" s="40">
        <v>3000</v>
      </c>
      <c r="J36" s="40">
        <v>3200</v>
      </c>
      <c r="K36" s="45">
        <f>OperatingExpensesTable[[#This Row],[الفعلي]]+(10^-6)*ROW(OperatingExpensesTable[[#This Row],[الفعلي]])</f>
        <v>3200.0000359999999</v>
      </c>
      <c r="L36" s="46">
        <f>OperatingExpensesTable[[#This Row],[المقدر]]-OperatingExpensesTable[[#This Row],[الفعلي]]</f>
        <v>-200</v>
      </c>
    </row>
    <row r="37" spans="2:12" ht="16.5" customHeight="1" x14ac:dyDescent="0.3">
      <c r="B37" s="15" t="str">
        <f>INDEX(OperatingExpensesTable[],MATCH(Top5Expenses[[#This Row],[المبلغ]],OperatingExpensesTable[أعلى خمسة مبالغ],0),1)</f>
        <v>الضرائب</v>
      </c>
      <c r="C37" s="40">
        <f>LARGE(OperatingExpensesTable[أعلى خمسة مبالغ],4)</f>
        <v>3200.0000359999999</v>
      </c>
      <c r="D37" s="41">
        <f>Top5Expenses[[#This Row],[المبلغ]]/$D$7</f>
        <v>6.4477131493048553E-2</v>
      </c>
      <c r="E37" s="40">
        <f>Top5Expenses[[#This Row],[المبلغ]]*0.15</f>
        <v>480.00000539999996</v>
      </c>
      <c r="H37" s="15" t="s">
        <v>12</v>
      </c>
      <c r="I37" s="40">
        <v>250</v>
      </c>
      <c r="J37" s="40">
        <v>280</v>
      </c>
      <c r="K37" s="45">
        <f>OperatingExpensesTable[[#This Row],[الفعلي]]+(10^-6)*ROW(OperatingExpensesTable[[#This Row],[الفعلي]])</f>
        <v>280.00003700000002</v>
      </c>
      <c r="L37" s="46">
        <f>OperatingExpensesTable[[#This Row],[المقدر]]-OperatingExpensesTable[[#This Row],[الفعلي]]</f>
        <v>-30</v>
      </c>
    </row>
    <row r="38" spans="2:12" ht="16.5" customHeight="1" x14ac:dyDescent="0.3">
      <c r="B38" s="15" t="str">
        <f>INDEX(OperatingExpensesTable[],MATCH(Top5Expenses[[#This Row],[المبلغ]],OperatingExpensesTable[أعلى خمسة مبالغ],0),1)</f>
        <v>الإعلانات</v>
      </c>
      <c r="C38" s="40">
        <f>LARGE(OperatingExpensesTable[أعلى خمسة مبالغ],5)</f>
        <v>2500.0000199999999</v>
      </c>
      <c r="D38" s="41">
        <f>Top5Expenses[[#This Row],[المبلغ]]/$D$7</f>
        <v>5.0372758815232718E-2</v>
      </c>
      <c r="E38" s="40">
        <f>Top5Expenses[[#This Row],[المبلغ]]*0.15</f>
        <v>375.00000299999999</v>
      </c>
      <c r="H38" s="15" t="s">
        <v>48</v>
      </c>
      <c r="I38" s="40">
        <v>1400</v>
      </c>
      <c r="J38" s="40">
        <v>1385</v>
      </c>
      <c r="K38" s="45">
        <f>OperatingExpensesTable[[#This Row],[الفعلي]]+(10^-6)*ROW(OperatingExpensesTable[[#This Row],[الفعلي]])</f>
        <v>1385.0000379999999</v>
      </c>
      <c r="L38" s="40">
        <f>OperatingExpensesTable[[#This Row],[المقدر]]-OperatingExpensesTable[[#This Row],[الفعلي]]</f>
        <v>15</v>
      </c>
    </row>
    <row r="39" spans="2:12" ht="16" customHeight="1" x14ac:dyDescent="0.3">
      <c r="B39" s="26" t="s">
        <v>13</v>
      </c>
      <c r="C39" s="42">
        <f>SUBTOTAL(109,Top5Expenses[المبلغ])</f>
        <v>19300.000152000001</v>
      </c>
      <c r="D39" s="43">
        <f>SUBTOTAL(109,Top5Expenses[نسبة المصاريف])</f>
        <v>0.3888776980052388</v>
      </c>
      <c r="E39" s="42">
        <f>SUBTOTAL(109,Top5Expenses[15% خصم])</f>
        <v>2895.0000227999999</v>
      </c>
      <c r="H39" s="15" t="s">
        <v>0</v>
      </c>
      <c r="I39" s="40">
        <v>1000</v>
      </c>
      <c r="J39" s="40">
        <v>750</v>
      </c>
      <c r="K39" s="45">
        <f>OperatingExpensesTable[[#This Row],[الفعلي]]+(10^-6)*ROW(OperatingExpensesTable[[#This Row],[الفعلي]])</f>
        <v>750.00003900000002</v>
      </c>
      <c r="L39" s="40">
        <f>OperatingExpensesTable[[#This Row],[المقدر]]-OperatingExpensesTable[[#This Row],[الفعلي]]</f>
        <v>250</v>
      </c>
    </row>
    <row r="40" spans="2:12" ht="16" customHeight="1" x14ac:dyDescent="0.3">
      <c r="H40" s="26" t="s">
        <v>33</v>
      </c>
      <c r="I40" s="42">
        <f>SUBTOTAL(109,OperatingExpensesTable[المقدر])</f>
        <v>36000</v>
      </c>
      <c r="J40" s="42">
        <f>SUBTOTAL(109,OperatingExpensesTable[الفعلي])</f>
        <v>35530</v>
      </c>
      <c r="K40" s="47"/>
      <c r="L40" s="42">
        <f>SUBTOTAL(109,OperatingExpensesTable[الفرق])</f>
        <v>470</v>
      </c>
    </row>
    <row r="41" spans="2:12" ht="16" customHeight="1" x14ac:dyDescent="0.3">
      <c r="B41" s="14" t="s">
        <v>47</v>
      </c>
    </row>
    <row r="42" spans="2:12" ht="16" customHeight="1" x14ac:dyDescent="0.3">
      <c r="H42" s="17" t="s">
        <v>47</v>
      </c>
    </row>
  </sheetData>
  <mergeCells count="4">
    <mergeCell ref="H18:L18"/>
    <mergeCell ref="H11:L11"/>
    <mergeCell ref="B31:D31"/>
    <mergeCell ref="L3:M3"/>
  </mergeCells>
  <printOptions horizontalCentered="1"/>
  <pageMargins left="0.2" right="0.2" top="0.25" bottom="0.25" header="0" footer="0"/>
  <pageSetup scale="57" fitToHeight="0" orientation="portrait" r:id="rId1"/>
  <ignoredErrors>
    <ignoredError sqref="C34 C36:C38 E6" calculatedColumn="1"/>
  </ignoredErrors>
  <drawing r:id="rId2"/>
  <tableParts count="5">
    <tablePart r:id="rId3"/>
    <tablePart r:id="rId4"/>
    <tablePart r:id="rId5"/>
    <tablePart r:id="rId6"/>
    <tablePart r:id="rId7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4" id="{CA679A58-33B3-4E23-B41D-223F287AF956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Flags" iconId="0"/>
              <x14:cfIcon iconSet="NoIcons" iconId="0"/>
              <x14:cfIcon iconSet="NoIcons" iconId="0"/>
            </x14:iconSet>
          </x14:cfRule>
          <xm:sqref>L20:L39 L13:L15 L6:L8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A86E3B0B-7F90-4824-8437-3F3F396E91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الميزانية الشهرية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ميزانية العمل الشهرية</dc:title>
  <dc:creator>Turki Fahad</dc:creator>
  <cp:keywords/>
  <cp:lastModifiedBy>Turki Fahad</cp:lastModifiedBy>
  <dcterms:created xsi:type="dcterms:W3CDTF">2015-09-18T10:43:50Z</dcterms:created>
  <dcterms:modified xsi:type="dcterms:W3CDTF">2015-09-18T10:43:50Z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TC034580759991</vt:lpwstr>
  </property>
</Properties>
</file>