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vind\Desktop\"/>
    </mc:Choice>
  </mc:AlternateContent>
  <workbookProtection lockStructure="1"/>
  <bookViews>
    <workbookView xWindow="0" yWindow="0" windowWidth="20490" windowHeight="7665" firstSheet="1" activeTab="4"/>
  </bookViews>
  <sheets>
    <sheet name="Product Data (2)" sheetId="46" state="hidden" r:id="rId1"/>
    <sheet name="Index" sheetId="50" r:id="rId2"/>
    <sheet name="Trend Dashboard" sheetId="42" r:id="rId3"/>
    <sheet name="Key Dashboards-July 2017" sheetId="33" r:id="rId4"/>
    <sheet name="INPUT DATA SHEETS" sheetId="43" r:id="rId5"/>
    <sheet name="Raw Data" sheetId="47" state="hidden" r:id="rId6"/>
    <sheet name="Expenses" sheetId="52" state="hidden" r:id="rId7"/>
    <sheet name="Balance Sheet" sheetId="53" state="hidden" r:id="rId8"/>
  </sheets>
  <definedNames>
    <definedName name="_xlnm._FilterDatabase" localSheetId="7" hidden="1">'Balance Sheet'!$A$5:$X$131</definedName>
    <definedName name="_xlnm.Print_Area" localSheetId="1">Index!$B$2:$N$29</definedName>
    <definedName name="_xlnm.Print_Titles" localSheetId="7">'Balance Sheet'!$1:$5</definedName>
    <definedName name="_xlnm.Print_Titles" localSheetId="6">Expenses!$1:$6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47" l="1"/>
  <c r="I32" i="47"/>
  <c r="I33" i="47"/>
  <c r="I34" i="47"/>
  <c r="I36" i="47"/>
  <c r="I37" i="47"/>
  <c r="I38" i="47"/>
  <c r="I39" i="47"/>
  <c r="I40" i="47"/>
  <c r="I41" i="47"/>
  <c r="I42" i="47"/>
  <c r="I43" i="47"/>
  <c r="I44" i="47"/>
  <c r="I45" i="47"/>
  <c r="I46" i="47"/>
  <c r="I50" i="47"/>
  <c r="L49" i="47"/>
  <c r="I52" i="47"/>
  <c r="I51" i="47"/>
  <c r="I53" i="47"/>
  <c r="E188" i="33"/>
  <c r="E187" i="33"/>
  <c r="C4" i="47"/>
  <c r="C5" i="47"/>
  <c r="C6" i="47"/>
  <c r="C7" i="47"/>
  <c r="C9" i="47"/>
  <c r="C10" i="47"/>
  <c r="C11" i="47"/>
  <c r="C12" i="47"/>
  <c r="C13" i="47"/>
  <c r="C14" i="47"/>
  <c r="C15" i="47"/>
  <c r="C16" i="47"/>
  <c r="C17" i="47"/>
  <c r="C18" i="47"/>
  <c r="C19" i="47"/>
  <c r="C23" i="47"/>
  <c r="C24" i="47"/>
  <c r="D4" i="47"/>
  <c r="D5" i="47"/>
  <c r="D6" i="47"/>
  <c r="D7" i="47"/>
  <c r="D9" i="47"/>
  <c r="D10" i="47"/>
  <c r="D11" i="47"/>
  <c r="D12" i="47"/>
  <c r="D13" i="47"/>
  <c r="D14" i="47"/>
  <c r="D15" i="47"/>
  <c r="D16" i="47"/>
  <c r="D17" i="47"/>
  <c r="D18" i="47"/>
  <c r="D19" i="47"/>
  <c r="D23" i="47"/>
  <c r="D24" i="47"/>
  <c r="E4" i="47"/>
  <c r="E5" i="47"/>
  <c r="E6" i="47"/>
  <c r="E7" i="47"/>
  <c r="E9" i="47"/>
  <c r="E10" i="47"/>
  <c r="E11" i="47"/>
  <c r="E12" i="47"/>
  <c r="E13" i="47"/>
  <c r="E14" i="47"/>
  <c r="E15" i="47"/>
  <c r="E16" i="47"/>
  <c r="E17" i="47"/>
  <c r="E18" i="47"/>
  <c r="E19" i="47"/>
  <c r="E23" i="47"/>
  <c r="E24" i="47"/>
  <c r="F4" i="47"/>
  <c r="F5" i="47"/>
  <c r="F6" i="47"/>
  <c r="F7" i="47"/>
  <c r="F9" i="47"/>
  <c r="F10" i="47"/>
  <c r="F11" i="47"/>
  <c r="F12" i="47"/>
  <c r="F13" i="47"/>
  <c r="F14" i="47"/>
  <c r="F15" i="47"/>
  <c r="F16" i="47"/>
  <c r="F17" i="47"/>
  <c r="F18" i="47"/>
  <c r="F19" i="47"/>
  <c r="F23" i="47"/>
  <c r="F24" i="47"/>
  <c r="G4" i="47"/>
  <c r="G5" i="47"/>
  <c r="G6" i="47"/>
  <c r="G7" i="47"/>
  <c r="G9" i="47"/>
  <c r="G10" i="47"/>
  <c r="G11" i="47"/>
  <c r="G12" i="47"/>
  <c r="G13" i="47"/>
  <c r="G14" i="47"/>
  <c r="G15" i="47"/>
  <c r="G16" i="47"/>
  <c r="G17" i="47"/>
  <c r="G18" i="47"/>
  <c r="G19" i="47"/>
  <c r="G23" i="47"/>
  <c r="G24" i="47"/>
  <c r="H4" i="47"/>
  <c r="H5" i="47"/>
  <c r="H6" i="47"/>
  <c r="H7" i="47"/>
  <c r="H9" i="47"/>
  <c r="H10" i="47"/>
  <c r="H11" i="47"/>
  <c r="H12" i="47"/>
  <c r="H13" i="47"/>
  <c r="H14" i="47"/>
  <c r="H15" i="47"/>
  <c r="H16" i="47"/>
  <c r="H17" i="47"/>
  <c r="H18" i="47"/>
  <c r="H19" i="47"/>
  <c r="H23" i="47"/>
  <c r="H24" i="47"/>
  <c r="I4" i="47"/>
  <c r="I5" i="47"/>
  <c r="I6" i="47"/>
  <c r="I7" i="47"/>
  <c r="I9" i="47"/>
  <c r="I10" i="47"/>
  <c r="I11" i="47"/>
  <c r="I12" i="47"/>
  <c r="I13" i="47"/>
  <c r="I14" i="47"/>
  <c r="I15" i="47"/>
  <c r="I16" i="47"/>
  <c r="I17" i="47"/>
  <c r="I18" i="47"/>
  <c r="I19" i="47"/>
  <c r="I23" i="47"/>
  <c r="I24" i="47"/>
  <c r="J4" i="47"/>
  <c r="J5" i="47"/>
  <c r="J6" i="47"/>
  <c r="J7" i="47"/>
  <c r="J9" i="47"/>
  <c r="J10" i="47"/>
  <c r="J11" i="47"/>
  <c r="J12" i="47"/>
  <c r="J13" i="47"/>
  <c r="J14" i="47"/>
  <c r="J15" i="47"/>
  <c r="J16" i="47"/>
  <c r="J17" i="47"/>
  <c r="J18" i="47"/>
  <c r="J19" i="47"/>
  <c r="J23" i="47"/>
  <c r="J24" i="47"/>
  <c r="C25" i="47"/>
  <c r="D25" i="47"/>
  <c r="E25" i="47"/>
  <c r="F25" i="47"/>
  <c r="G25" i="47"/>
  <c r="H25" i="47"/>
  <c r="I25" i="47"/>
  <c r="J25" i="47"/>
  <c r="C26" i="47"/>
  <c r="D26" i="47"/>
  <c r="E26" i="47"/>
  <c r="F26" i="47"/>
  <c r="G26" i="47"/>
  <c r="H26" i="47"/>
  <c r="I26" i="47"/>
  <c r="J26" i="47"/>
  <c r="C27" i="47"/>
  <c r="D27" i="47"/>
  <c r="E27" i="47"/>
  <c r="F27" i="47"/>
  <c r="G27" i="47"/>
  <c r="H27" i="47"/>
  <c r="I27" i="47"/>
  <c r="J27" i="47"/>
  <c r="C31" i="47"/>
  <c r="C32" i="47"/>
  <c r="C33" i="47"/>
  <c r="C34" i="47"/>
  <c r="C36" i="47"/>
  <c r="C37" i="47"/>
  <c r="C38" i="47"/>
  <c r="C39" i="47"/>
  <c r="C40" i="47"/>
  <c r="C41" i="47"/>
  <c r="C42" i="47"/>
  <c r="C43" i="47"/>
  <c r="C44" i="47"/>
  <c r="C45" i="47"/>
  <c r="C46" i="47"/>
  <c r="C50" i="47"/>
  <c r="C52" i="47"/>
  <c r="C53" i="47"/>
  <c r="J31" i="47"/>
  <c r="J32" i="47"/>
  <c r="J33" i="47"/>
  <c r="J34" i="47"/>
  <c r="J36" i="47"/>
  <c r="J37" i="47"/>
  <c r="J38" i="47"/>
  <c r="J39" i="47"/>
  <c r="J40" i="47"/>
  <c r="J41" i="47"/>
  <c r="J42" i="47"/>
  <c r="J43" i="47"/>
  <c r="J44" i="47"/>
  <c r="J45" i="47"/>
  <c r="J46" i="47"/>
  <c r="J50" i="47"/>
  <c r="J52" i="47"/>
  <c r="J53" i="47"/>
  <c r="H31" i="47"/>
  <c r="H32" i="47"/>
  <c r="H33" i="47"/>
  <c r="H34" i="47"/>
  <c r="H36" i="47"/>
  <c r="H37" i="47"/>
  <c r="H38" i="47"/>
  <c r="H39" i="47"/>
  <c r="H40" i="47"/>
  <c r="H41" i="47"/>
  <c r="H42" i="47"/>
  <c r="H43" i="47"/>
  <c r="H44" i="47"/>
  <c r="H45" i="47"/>
  <c r="H46" i="47"/>
  <c r="H50" i="47"/>
  <c r="H52" i="47"/>
  <c r="H53" i="47"/>
  <c r="G31" i="47"/>
  <c r="G32" i="47"/>
  <c r="G33" i="47"/>
  <c r="G34" i="47"/>
  <c r="G36" i="47"/>
  <c r="G37" i="47"/>
  <c r="G38" i="47"/>
  <c r="G39" i="47"/>
  <c r="G40" i="47"/>
  <c r="G41" i="47"/>
  <c r="G42" i="47"/>
  <c r="G43" i="47"/>
  <c r="G44" i="47"/>
  <c r="G45" i="47"/>
  <c r="G46" i="47"/>
  <c r="G50" i="47"/>
  <c r="G52" i="47"/>
  <c r="G53" i="47"/>
  <c r="F31" i="47"/>
  <c r="F32" i="47"/>
  <c r="F33" i="47"/>
  <c r="F34" i="47"/>
  <c r="F36" i="47"/>
  <c r="F37" i="47"/>
  <c r="F38" i="47"/>
  <c r="F39" i="47"/>
  <c r="F40" i="47"/>
  <c r="F41" i="47"/>
  <c r="F42" i="47"/>
  <c r="F43" i="47"/>
  <c r="F44" i="47"/>
  <c r="F45" i="47"/>
  <c r="F46" i="47"/>
  <c r="F50" i="47"/>
  <c r="F52" i="47"/>
  <c r="F53" i="47"/>
  <c r="E31" i="47"/>
  <c r="E32" i="47"/>
  <c r="E33" i="47"/>
  <c r="E34" i="47"/>
  <c r="E36" i="47"/>
  <c r="E37" i="47"/>
  <c r="E38" i="47"/>
  <c r="E39" i="47"/>
  <c r="E40" i="47"/>
  <c r="E41" i="47"/>
  <c r="E42" i="47"/>
  <c r="E43" i="47"/>
  <c r="E44" i="47"/>
  <c r="E45" i="47"/>
  <c r="E46" i="47"/>
  <c r="E50" i="47"/>
  <c r="E52" i="47"/>
  <c r="E53" i="47"/>
  <c r="D31" i="47"/>
  <c r="D32" i="47"/>
  <c r="D33" i="47"/>
  <c r="D34" i="47"/>
  <c r="D36" i="47"/>
  <c r="D37" i="47"/>
  <c r="D38" i="47"/>
  <c r="D39" i="47"/>
  <c r="D40" i="47"/>
  <c r="D41" i="47"/>
  <c r="D42" i="47"/>
  <c r="D43" i="47"/>
  <c r="D44" i="47"/>
  <c r="D45" i="47"/>
  <c r="D46" i="47"/>
  <c r="D50" i="47"/>
  <c r="D52" i="47"/>
  <c r="D53" i="47"/>
  <c r="J51" i="47"/>
  <c r="H51" i="47"/>
  <c r="G51" i="47"/>
  <c r="F51" i="47"/>
  <c r="E51" i="47"/>
  <c r="D51" i="47"/>
  <c r="C51" i="47"/>
  <c r="J69" i="47"/>
  <c r="I69" i="47"/>
  <c r="H69" i="47"/>
  <c r="G69" i="47"/>
  <c r="F69" i="47"/>
  <c r="E69" i="47"/>
  <c r="D69" i="47"/>
  <c r="C69" i="47"/>
  <c r="J62" i="47"/>
  <c r="I62" i="47"/>
  <c r="H62" i="47"/>
  <c r="G62" i="47"/>
  <c r="F62" i="47"/>
  <c r="E62" i="47"/>
  <c r="D62" i="47"/>
  <c r="C62" i="47"/>
  <c r="N39" i="33"/>
  <c r="J28" i="33"/>
  <c r="J29" i="33"/>
  <c r="J30" i="33"/>
  <c r="J31" i="33"/>
  <c r="J33" i="33"/>
  <c r="N38" i="33"/>
  <c r="D125" i="33"/>
  <c r="J34" i="33"/>
  <c r="J35" i="33"/>
  <c r="O39" i="33"/>
  <c r="O38" i="33"/>
  <c r="E173" i="33"/>
  <c r="D173" i="33"/>
  <c r="D161" i="33"/>
  <c r="D163" i="33"/>
  <c r="E165" i="33"/>
  <c r="D165" i="33"/>
  <c r="G125" i="33"/>
  <c r="K34" i="33"/>
  <c r="K28" i="33"/>
  <c r="K29" i="33"/>
  <c r="K30" i="33"/>
  <c r="K31" i="33"/>
  <c r="K35" i="33"/>
  <c r="N26" i="33"/>
  <c r="N29" i="33"/>
  <c r="N30" i="33"/>
  <c r="AJ194" i="42"/>
  <c r="AJ193" i="42"/>
  <c r="N33" i="33"/>
  <c r="N36" i="33"/>
  <c r="N37" i="33"/>
  <c r="AI194" i="42"/>
  <c r="AI193" i="42"/>
  <c r="AH194" i="42"/>
  <c r="AH193" i="42"/>
  <c r="AG194" i="42"/>
  <c r="AG193" i="42"/>
  <c r="AF194" i="42"/>
  <c r="AF193" i="42"/>
  <c r="AE194" i="42"/>
  <c r="AE193" i="42"/>
  <c r="AD194" i="42"/>
  <c r="AD193" i="42"/>
  <c r="AC194" i="42"/>
  <c r="AC193" i="42"/>
  <c r="AB194" i="42"/>
  <c r="AB193" i="42"/>
  <c r="AA194" i="42"/>
  <c r="AA193" i="42"/>
  <c r="Z194" i="42"/>
  <c r="Z193" i="42"/>
  <c r="Y194" i="42"/>
  <c r="Y193" i="42"/>
  <c r="X194" i="42"/>
  <c r="X193" i="42"/>
  <c r="W194" i="42"/>
  <c r="W193" i="42"/>
  <c r="V194" i="42"/>
  <c r="V193" i="42"/>
  <c r="U194" i="42"/>
  <c r="U193" i="42"/>
  <c r="T194" i="42"/>
  <c r="T193" i="42"/>
  <c r="S194" i="42"/>
  <c r="S193" i="42"/>
  <c r="R194" i="42"/>
  <c r="R193" i="42"/>
  <c r="Q194" i="42"/>
  <c r="Q193" i="42"/>
  <c r="P194" i="42"/>
  <c r="P193" i="42"/>
  <c r="O194" i="42"/>
  <c r="O193" i="42"/>
  <c r="N194" i="42"/>
  <c r="N193" i="42"/>
  <c r="M194" i="42"/>
  <c r="M193" i="42"/>
  <c r="L194" i="42"/>
  <c r="L193" i="42"/>
  <c r="K194" i="42"/>
  <c r="K193" i="42"/>
  <c r="J194" i="42"/>
  <c r="J193" i="42"/>
  <c r="I194" i="42"/>
  <c r="I193" i="42"/>
  <c r="H194" i="42"/>
  <c r="H193" i="42"/>
  <c r="G194" i="42"/>
  <c r="G193" i="42"/>
  <c r="F194" i="42"/>
  <c r="F193" i="42"/>
  <c r="E194" i="42"/>
  <c r="E193" i="42"/>
  <c r="AJ190" i="42"/>
  <c r="AJ189" i="42"/>
  <c r="AJ188" i="42"/>
  <c r="AJ187" i="42"/>
  <c r="AJ186" i="42"/>
  <c r="AJ185" i="42"/>
  <c r="AJ184" i="42"/>
  <c r="AJ183" i="42"/>
  <c r="AJ182" i="42"/>
  <c r="AI190" i="42"/>
  <c r="AI189" i="42"/>
  <c r="AI188" i="42"/>
  <c r="AI187" i="42"/>
  <c r="AI186" i="42"/>
  <c r="AI185" i="42"/>
  <c r="AI184" i="42"/>
  <c r="AI183" i="42"/>
  <c r="AI182" i="42"/>
  <c r="AH190" i="42"/>
  <c r="AH189" i="42"/>
  <c r="AH188" i="42"/>
  <c r="AH187" i="42"/>
  <c r="AH186" i="42"/>
  <c r="AH185" i="42"/>
  <c r="AH184" i="42"/>
  <c r="AH183" i="42"/>
  <c r="AH182" i="42"/>
  <c r="AG190" i="42"/>
  <c r="AG189" i="42"/>
  <c r="AG188" i="42"/>
  <c r="AG187" i="42"/>
  <c r="AG186" i="42"/>
  <c r="AG185" i="42"/>
  <c r="AG184" i="42"/>
  <c r="AG183" i="42"/>
  <c r="AG182" i="42"/>
  <c r="AF190" i="42"/>
  <c r="AF189" i="42"/>
  <c r="AF188" i="42"/>
  <c r="AF187" i="42"/>
  <c r="AF186" i="42"/>
  <c r="AF185" i="42"/>
  <c r="AF184" i="42"/>
  <c r="AF183" i="42"/>
  <c r="AF182" i="42"/>
  <c r="AE190" i="42"/>
  <c r="AE189" i="42"/>
  <c r="AE188" i="42"/>
  <c r="AE187" i="42"/>
  <c r="AE186" i="42"/>
  <c r="AE185" i="42"/>
  <c r="AE184" i="42"/>
  <c r="AE183" i="42"/>
  <c r="AE182" i="42"/>
  <c r="AD190" i="42"/>
  <c r="AD189" i="42"/>
  <c r="AD188" i="42"/>
  <c r="AD187" i="42"/>
  <c r="AD186" i="42"/>
  <c r="AD185" i="42"/>
  <c r="AD184" i="42"/>
  <c r="AD183" i="42"/>
  <c r="AD182" i="42"/>
  <c r="AC190" i="42"/>
  <c r="AC189" i="42"/>
  <c r="AC188" i="42"/>
  <c r="AC187" i="42"/>
  <c r="AC186" i="42"/>
  <c r="AC185" i="42"/>
  <c r="AC184" i="42"/>
  <c r="AC183" i="42"/>
  <c r="AC182" i="42"/>
  <c r="AB190" i="42"/>
  <c r="AB189" i="42"/>
  <c r="AB188" i="42"/>
  <c r="AB187" i="42"/>
  <c r="AB186" i="42"/>
  <c r="AB185" i="42"/>
  <c r="AB184" i="42"/>
  <c r="AB183" i="42"/>
  <c r="AB182" i="42"/>
  <c r="AA190" i="42"/>
  <c r="AA189" i="42"/>
  <c r="AA188" i="42"/>
  <c r="AA187" i="42"/>
  <c r="AA186" i="42"/>
  <c r="AA185" i="42"/>
  <c r="AA184" i="42"/>
  <c r="AA183" i="42"/>
  <c r="AA182" i="42"/>
  <c r="Z190" i="42"/>
  <c r="Z189" i="42"/>
  <c r="Z188" i="42"/>
  <c r="Z187" i="42"/>
  <c r="Z186" i="42"/>
  <c r="Z185" i="42"/>
  <c r="Z184" i="42"/>
  <c r="Z183" i="42"/>
  <c r="Z182" i="42"/>
  <c r="Y190" i="42"/>
  <c r="Y189" i="42"/>
  <c r="Y188" i="42"/>
  <c r="Y187" i="42"/>
  <c r="Y186" i="42"/>
  <c r="Y185" i="42"/>
  <c r="Y184" i="42"/>
  <c r="Y183" i="42"/>
  <c r="Y182" i="42"/>
  <c r="X190" i="42"/>
  <c r="X189" i="42"/>
  <c r="X188" i="42"/>
  <c r="X187" i="42"/>
  <c r="X186" i="42"/>
  <c r="X185" i="42"/>
  <c r="X184" i="42"/>
  <c r="X183" i="42"/>
  <c r="X182" i="42"/>
  <c r="W190" i="42"/>
  <c r="W189" i="42"/>
  <c r="W188" i="42"/>
  <c r="W187" i="42"/>
  <c r="W186" i="42"/>
  <c r="W185" i="42"/>
  <c r="W184" i="42"/>
  <c r="W183" i="42"/>
  <c r="W182" i="42"/>
  <c r="V190" i="42"/>
  <c r="V189" i="42"/>
  <c r="V188" i="42"/>
  <c r="V187" i="42"/>
  <c r="V186" i="42"/>
  <c r="V185" i="42"/>
  <c r="V184" i="42"/>
  <c r="V183" i="42"/>
  <c r="V182" i="42"/>
  <c r="U190" i="42"/>
  <c r="U189" i="42"/>
  <c r="U188" i="42"/>
  <c r="U187" i="42"/>
  <c r="U186" i="42"/>
  <c r="U185" i="42"/>
  <c r="U184" i="42"/>
  <c r="U183" i="42"/>
  <c r="U182" i="42"/>
  <c r="T190" i="42"/>
  <c r="T189" i="42"/>
  <c r="T188" i="42"/>
  <c r="T187" i="42"/>
  <c r="T186" i="42"/>
  <c r="T185" i="42"/>
  <c r="T184" i="42"/>
  <c r="T183" i="42"/>
  <c r="T182" i="42"/>
  <c r="S190" i="42"/>
  <c r="S189" i="42"/>
  <c r="S188" i="42"/>
  <c r="S187" i="42"/>
  <c r="S186" i="42"/>
  <c r="S185" i="42"/>
  <c r="S184" i="42"/>
  <c r="S183" i="42"/>
  <c r="S182" i="42"/>
  <c r="R190" i="42"/>
  <c r="R189" i="42"/>
  <c r="R188" i="42"/>
  <c r="R187" i="42"/>
  <c r="R186" i="42"/>
  <c r="R185" i="42"/>
  <c r="R184" i="42"/>
  <c r="R183" i="42"/>
  <c r="R182" i="42"/>
  <c r="Q190" i="42"/>
  <c r="Q189" i="42"/>
  <c r="Q188" i="42"/>
  <c r="Q187" i="42"/>
  <c r="Q186" i="42"/>
  <c r="Q185" i="42"/>
  <c r="Q184" i="42"/>
  <c r="Q183" i="42"/>
  <c r="Q182" i="42"/>
  <c r="P190" i="42"/>
  <c r="P189" i="42"/>
  <c r="P188" i="42"/>
  <c r="P187" i="42"/>
  <c r="P186" i="42"/>
  <c r="P185" i="42"/>
  <c r="P184" i="42"/>
  <c r="P183" i="42"/>
  <c r="P182" i="42"/>
  <c r="O190" i="42"/>
  <c r="O189" i="42"/>
  <c r="O188" i="42"/>
  <c r="O187" i="42"/>
  <c r="O186" i="42"/>
  <c r="O185" i="42"/>
  <c r="O184" i="42"/>
  <c r="O183" i="42"/>
  <c r="O182" i="42"/>
  <c r="N190" i="42"/>
  <c r="N189" i="42"/>
  <c r="N188" i="42"/>
  <c r="N187" i="42"/>
  <c r="N186" i="42"/>
  <c r="N185" i="42"/>
  <c r="N184" i="42"/>
  <c r="N183" i="42"/>
  <c r="N182" i="42"/>
  <c r="M190" i="42"/>
  <c r="M189" i="42"/>
  <c r="M188" i="42"/>
  <c r="M187" i="42"/>
  <c r="M186" i="42"/>
  <c r="M185" i="42"/>
  <c r="M184" i="42"/>
  <c r="M183" i="42"/>
  <c r="M182" i="42"/>
  <c r="L190" i="42"/>
  <c r="L189" i="42"/>
  <c r="L188" i="42"/>
  <c r="L187" i="42"/>
  <c r="L186" i="42"/>
  <c r="L185" i="42"/>
  <c r="L184" i="42"/>
  <c r="L183" i="42"/>
  <c r="L182" i="42"/>
  <c r="K190" i="42"/>
  <c r="K189" i="42"/>
  <c r="K188" i="42"/>
  <c r="K187" i="42"/>
  <c r="K186" i="42"/>
  <c r="K185" i="42"/>
  <c r="K184" i="42"/>
  <c r="K183" i="42"/>
  <c r="K182" i="42"/>
  <c r="J190" i="42"/>
  <c r="J189" i="42"/>
  <c r="J188" i="42"/>
  <c r="J187" i="42"/>
  <c r="J186" i="42"/>
  <c r="J185" i="42"/>
  <c r="J184" i="42"/>
  <c r="J183" i="42"/>
  <c r="J182" i="42"/>
  <c r="I190" i="42"/>
  <c r="I189" i="42"/>
  <c r="I188" i="42"/>
  <c r="I187" i="42"/>
  <c r="I186" i="42"/>
  <c r="I185" i="42"/>
  <c r="I184" i="42"/>
  <c r="I183" i="42"/>
  <c r="I182" i="42"/>
  <c r="H190" i="42"/>
  <c r="H189" i="42"/>
  <c r="H188" i="42"/>
  <c r="H187" i="42"/>
  <c r="H186" i="42"/>
  <c r="H185" i="42"/>
  <c r="H184" i="42"/>
  <c r="H183" i="42"/>
  <c r="H182" i="42"/>
  <c r="G190" i="42"/>
  <c r="G189" i="42"/>
  <c r="G188" i="42"/>
  <c r="G187" i="42"/>
  <c r="G186" i="42"/>
  <c r="G185" i="42"/>
  <c r="G184" i="42"/>
  <c r="G183" i="42"/>
  <c r="G182" i="42"/>
  <c r="F190" i="42"/>
  <c r="F189" i="42"/>
  <c r="F188" i="42"/>
  <c r="F187" i="42"/>
  <c r="F186" i="42"/>
  <c r="F185" i="42"/>
  <c r="F184" i="42"/>
  <c r="F183" i="42"/>
  <c r="F182" i="42"/>
  <c r="E190" i="42"/>
  <c r="E189" i="42"/>
  <c r="E188" i="42"/>
  <c r="E187" i="42"/>
  <c r="E186" i="42"/>
  <c r="E185" i="42"/>
  <c r="E184" i="42"/>
  <c r="E183" i="42"/>
  <c r="E182" i="42"/>
  <c r="AJ177" i="42"/>
  <c r="AJ176" i="42"/>
  <c r="AI179" i="42"/>
  <c r="AI178" i="42"/>
  <c r="AI177" i="42"/>
  <c r="AH177" i="42"/>
  <c r="AH176" i="42"/>
  <c r="AG179" i="42"/>
  <c r="AG178" i="42"/>
  <c r="AG177" i="42"/>
  <c r="AF177" i="42"/>
  <c r="AF176" i="42"/>
  <c r="AE179" i="42"/>
  <c r="AE178" i="42"/>
  <c r="AE177" i="42"/>
  <c r="AD177" i="42"/>
  <c r="AD176" i="42"/>
  <c r="AC179" i="42"/>
  <c r="AC178" i="42"/>
  <c r="AC177" i="42"/>
  <c r="AB176" i="42"/>
  <c r="AA179" i="42"/>
  <c r="AA178" i="42"/>
  <c r="AA177" i="42"/>
  <c r="AA176" i="42"/>
  <c r="Z176" i="42"/>
  <c r="Y179" i="42"/>
  <c r="Y178" i="42"/>
  <c r="Y177" i="42"/>
  <c r="X177" i="42"/>
  <c r="X176" i="42"/>
  <c r="W179" i="42"/>
  <c r="W178" i="42"/>
  <c r="W177" i="42"/>
  <c r="V176" i="42"/>
  <c r="U179" i="42"/>
  <c r="U178" i="42"/>
  <c r="U177" i="42"/>
  <c r="T176" i="42"/>
  <c r="S179" i="42"/>
  <c r="S178" i="42"/>
  <c r="S177" i="42"/>
  <c r="R176" i="42"/>
  <c r="Q179" i="42"/>
  <c r="Q178" i="42"/>
  <c r="Q177" i="42"/>
  <c r="P176" i="42"/>
  <c r="O179" i="42"/>
  <c r="O178" i="42"/>
  <c r="O177" i="42"/>
  <c r="N177" i="42"/>
  <c r="N176" i="42"/>
  <c r="M179" i="42"/>
  <c r="M178" i="42"/>
  <c r="M177" i="42"/>
  <c r="L177" i="42"/>
  <c r="L176" i="42"/>
  <c r="K179" i="42"/>
  <c r="K178" i="42"/>
  <c r="K177" i="42"/>
  <c r="J177" i="42"/>
  <c r="J176" i="42"/>
  <c r="I179" i="42"/>
  <c r="I178" i="42"/>
  <c r="I177" i="42"/>
  <c r="H177" i="42"/>
  <c r="H176" i="42"/>
  <c r="G179" i="42"/>
  <c r="G178" i="42"/>
  <c r="G177" i="42"/>
  <c r="F179" i="42"/>
  <c r="F178" i="42"/>
  <c r="F177" i="42"/>
  <c r="F176" i="42"/>
  <c r="E179" i="42"/>
  <c r="E178" i="42"/>
  <c r="E177" i="42"/>
  <c r="J141" i="47"/>
  <c r="J188" i="47"/>
  <c r="I141" i="47"/>
  <c r="I188" i="47"/>
  <c r="H141" i="47"/>
  <c r="H188" i="47"/>
  <c r="G141" i="47"/>
  <c r="G188" i="47"/>
  <c r="F141" i="47"/>
  <c r="F188" i="47"/>
  <c r="E141" i="47"/>
  <c r="E188" i="47"/>
  <c r="D141" i="47"/>
  <c r="D188" i="47"/>
  <c r="C141" i="47"/>
  <c r="C188" i="47"/>
  <c r="J47" i="47"/>
  <c r="J140" i="47"/>
  <c r="J187" i="47"/>
  <c r="I47" i="47"/>
  <c r="I140" i="47"/>
  <c r="I187" i="47"/>
  <c r="H47" i="47"/>
  <c r="H140" i="47"/>
  <c r="H187" i="47"/>
  <c r="G47" i="47"/>
  <c r="G140" i="47"/>
  <c r="G187" i="47"/>
  <c r="F47" i="47"/>
  <c r="F140" i="47"/>
  <c r="F187" i="47"/>
  <c r="E47" i="47"/>
  <c r="E140" i="47"/>
  <c r="E187" i="47"/>
  <c r="D47" i="47"/>
  <c r="D140" i="47"/>
  <c r="D187" i="47"/>
  <c r="C47" i="47"/>
  <c r="C140" i="47"/>
  <c r="C187" i="47"/>
  <c r="AI170" i="42"/>
  <c r="J48" i="47"/>
  <c r="J49" i="47"/>
  <c r="J139" i="47"/>
  <c r="J186" i="47"/>
  <c r="AE170" i="42"/>
  <c r="I48" i="47"/>
  <c r="I49" i="47"/>
  <c r="I139" i="47"/>
  <c r="I186" i="47"/>
  <c r="AA170" i="42"/>
  <c r="H48" i="47"/>
  <c r="H49" i="47"/>
  <c r="H139" i="47"/>
  <c r="H186" i="47"/>
  <c r="W170" i="42"/>
  <c r="G48" i="47"/>
  <c r="G49" i="47"/>
  <c r="G139" i="47"/>
  <c r="G186" i="47"/>
  <c r="S170" i="42"/>
  <c r="F48" i="47"/>
  <c r="F49" i="47"/>
  <c r="F139" i="47"/>
  <c r="F186" i="47"/>
  <c r="O170" i="42"/>
  <c r="E48" i="47"/>
  <c r="E49" i="47"/>
  <c r="E139" i="47"/>
  <c r="E186" i="47"/>
  <c r="K170" i="42"/>
  <c r="D48" i="47"/>
  <c r="D49" i="47"/>
  <c r="D139" i="47"/>
  <c r="D186" i="47"/>
  <c r="G170" i="42"/>
  <c r="C48" i="47"/>
  <c r="C49" i="47"/>
  <c r="C139" i="47"/>
  <c r="C186" i="47"/>
  <c r="J185" i="47"/>
  <c r="I185" i="47"/>
  <c r="H185" i="47"/>
  <c r="G185" i="47"/>
  <c r="F185" i="47"/>
  <c r="E185" i="47"/>
  <c r="D185" i="47"/>
  <c r="C185" i="47"/>
  <c r="J130" i="47"/>
  <c r="J177" i="47"/>
  <c r="I130" i="47"/>
  <c r="I177" i="47"/>
  <c r="H130" i="47"/>
  <c r="H177" i="47"/>
  <c r="G130" i="47"/>
  <c r="G177" i="47"/>
  <c r="F130" i="47"/>
  <c r="F177" i="47"/>
  <c r="E130" i="47"/>
  <c r="E177" i="47"/>
  <c r="D130" i="47"/>
  <c r="D177" i="47"/>
  <c r="C130" i="47"/>
  <c r="C177" i="47"/>
  <c r="J20" i="47"/>
  <c r="J129" i="47"/>
  <c r="J176" i="47"/>
  <c r="I20" i="47"/>
  <c r="I129" i="47"/>
  <c r="I176" i="47"/>
  <c r="H20" i="47"/>
  <c r="H129" i="47"/>
  <c r="H176" i="47"/>
  <c r="G20" i="47"/>
  <c r="G129" i="47"/>
  <c r="G176" i="47"/>
  <c r="F20" i="47"/>
  <c r="F129" i="47"/>
  <c r="F176" i="47"/>
  <c r="E20" i="47"/>
  <c r="E129" i="47"/>
  <c r="E176" i="47"/>
  <c r="D20" i="47"/>
  <c r="D129" i="47"/>
  <c r="D176" i="47"/>
  <c r="C20" i="47"/>
  <c r="C129" i="47"/>
  <c r="C176" i="47"/>
  <c r="AG170" i="42"/>
  <c r="J21" i="47"/>
  <c r="J22" i="47"/>
  <c r="J128" i="47"/>
  <c r="J175" i="47"/>
  <c r="AC170" i="42"/>
  <c r="I21" i="47"/>
  <c r="I22" i="47"/>
  <c r="I128" i="47"/>
  <c r="I175" i="47"/>
  <c r="Y170" i="42"/>
  <c r="H21" i="47"/>
  <c r="H22" i="47"/>
  <c r="H128" i="47"/>
  <c r="H175" i="47"/>
  <c r="U170" i="42"/>
  <c r="G21" i="47"/>
  <c r="G22" i="47"/>
  <c r="G128" i="47"/>
  <c r="G175" i="47"/>
  <c r="Q170" i="42"/>
  <c r="F21" i="47"/>
  <c r="F22" i="47"/>
  <c r="F128" i="47"/>
  <c r="F175" i="47"/>
  <c r="M170" i="42"/>
  <c r="E21" i="47"/>
  <c r="E22" i="47"/>
  <c r="E128" i="47"/>
  <c r="E175" i="47"/>
  <c r="I170" i="42"/>
  <c r="D21" i="47"/>
  <c r="D22" i="47"/>
  <c r="D128" i="47"/>
  <c r="D175" i="47"/>
  <c r="E170" i="42"/>
  <c r="C21" i="47"/>
  <c r="C22" i="47"/>
  <c r="C128" i="47"/>
  <c r="C175" i="47"/>
  <c r="J174" i="47"/>
  <c r="I174" i="47"/>
  <c r="H174" i="47"/>
  <c r="G174" i="47"/>
  <c r="F174" i="47"/>
  <c r="E174" i="47"/>
  <c r="D174" i="47"/>
  <c r="C174" i="47"/>
  <c r="J164" i="47"/>
  <c r="I164" i="47"/>
  <c r="H164" i="47"/>
  <c r="G164" i="47"/>
  <c r="F164" i="47"/>
  <c r="E164" i="47"/>
  <c r="D164" i="47"/>
  <c r="C164" i="47"/>
  <c r="J163" i="47"/>
  <c r="I163" i="47"/>
  <c r="H163" i="47"/>
  <c r="G163" i="47"/>
  <c r="F163" i="47"/>
  <c r="E163" i="47"/>
  <c r="D163" i="47"/>
  <c r="C163" i="47"/>
  <c r="J162" i="47"/>
  <c r="I162" i="47"/>
  <c r="H162" i="47"/>
  <c r="G162" i="47"/>
  <c r="F162" i="47"/>
  <c r="E162" i="47"/>
  <c r="D162" i="47"/>
  <c r="C162" i="47"/>
  <c r="J161" i="47"/>
  <c r="I161" i="47"/>
  <c r="H161" i="47"/>
  <c r="G161" i="47"/>
  <c r="F161" i="47"/>
  <c r="E161" i="47"/>
  <c r="D161" i="47"/>
  <c r="C161" i="47"/>
  <c r="J153" i="47"/>
  <c r="I153" i="47"/>
  <c r="H153" i="47"/>
  <c r="G153" i="47"/>
  <c r="F153" i="47"/>
  <c r="E153" i="47"/>
  <c r="D153" i="47"/>
  <c r="C153" i="47"/>
  <c r="J152" i="47"/>
  <c r="I152" i="47"/>
  <c r="H152" i="47"/>
  <c r="G152" i="47"/>
  <c r="F152" i="47"/>
  <c r="E152" i="47"/>
  <c r="D152" i="47"/>
  <c r="C152" i="47"/>
  <c r="J151" i="47"/>
  <c r="I151" i="47"/>
  <c r="H151" i="47"/>
  <c r="G151" i="47"/>
  <c r="F151" i="47"/>
  <c r="E151" i="47"/>
  <c r="D151" i="47"/>
  <c r="C151" i="47"/>
  <c r="J150" i="47"/>
  <c r="I150" i="47"/>
  <c r="H150" i="47"/>
  <c r="G150" i="47"/>
  <c r="F150" i="47"/>
  <c r="E150" i="47"/>
  <c r="D150" i="47"/>
  <c r="C150" i="47"/>
  <c r="Y9" i="53"/>
  <c r="J91" i="47"/>
  <c r="J93" i="47"/>
  <c r="V9" i="53"/>
  <c r="I91" i="47"/>
  <c r="I93" i="47"/>
  <c r="S9" i="53"/>
  <c r="H91" i="47"/>
  <c r="H93" i="47"/>
  <c r="P9" i="53"/>
  <c r="G91" i="47"/>
  <c r="G93" i="47"/>
  <c r="M9" i="53"/>
  <c r="F91" i="47"/>
  <c r="F93" i="47"/>
  <c r="J9" i="53"/>
  <c r="E91" i="47"/>
  <c r="E93" i="47"/>
  <c r="G9" i="53"/>
  <c r="D91" i="47"/>
  <c r="D93" i="47"/>
  <c r="D9" i="53"/>
  <c r="C91" i="47"/>
  <c r="C93" i="47"/>
  <c r="J92" i="47"/>
  <c r="I92" i="47"/>
  <c r="H92" i="47"/>
  <c r="G92" i="47"/>
  <c r="F92" i="47"/>
  <c r="E92" i="47"/>
  <c r="D92" i="47"/>
  <c r="C92" i="47"/>
  <c r="J85" i="47"/>
  <c r="J87" i="47"/>
  <c r="I85" i="47"/>
  <c r="I87" i="47"/>
  <c r="H85" i="47"/>
  <c r="H87" i="47"/>
  <c r="G85" i="47"/>
  <c r="G87" i="47"/>
  <c r="F85" i="47"/>
  <c r="F87" i="47"/>
  <c r="E85" i="47"/>
  <c r="E87" i="47"/>
  <c r="D85" i="47"/>
  <c r="D87" i="47"/>
  <c r="C85" i="47"/>
  <c r="C87" i="47"/>
  <c r="J86" i="47"/>
  <c r="I86" i="47"/>
  <c r="H86" i="47"/>
  <c r="G86" i="47"/>
  <c r="F86" i="47"/>
  <c r="E86" i="47"/>
  <c r="D86" i="47"/>
  <c r="C86" i="47"/>
  <c r="E123" i="33"/>
  <c r="J123" i="33"/>
  <c r="G145" i="33"/>
  <c r="N145" i="33"/>
  <c r="G143" i="33"/>
  <c r="N143" i="33"/>
  <c r="M145" i="33"/>
  <c r="M143" i="33"/>
  <c r="D145" i="33"/>
  <c r="L145" i="33"/>
  <c r="D143" i="33"/>
  <c r="L143" i="33"/>
  <c r="K145" i="33"/>
  <c r="K143" i="33"/>
  <c r="J145" i="33"/>
  <c r="J143" i="33"/>
  <c r="I145" i="33"/>
  <c r="I143" i="33"/>
  <c r="G138" i="33"/>
  <c r="N138" i="33"/>
  <c r="G137" i="33"/>
  <c r="N137" i="33"/>
  <c r="G136" i="33"/>
  <c r="N136" i="33"/>
  <c r="G135" i="33"/>
  <c r="N135" i="33"/>
  <c r="G134" i="33"/>
  <c r="N134" i="33"/>
  <c r="G133" i="33"/>
  <c r="N133" i="33"/>
  <c r="G132" i="33"/>
  <c r="N132" i="33"/>
  <c r="G131" i="33"/>
  <c r="N131" i="33"/>
  <c r="G130" i="33"/>
  <c r="N130" i="33"/>
  <c r="E138" i="33"/>
  <c r="M138" i="33"/>
  <c r="E137" i="33"/>
  <c r="M137" i="33"/>
  <c r="E136" i="33"/>
  <c r="M136" i="33"/>
  <c r="E135" i="33"/>
  <c r="M135" i="33"/>
  <c r="E134" i="33"/>
  <c r="M134" i="33"/>
  <c r="E133" i="33"/>
  <c r="M133" i="33"/>
  <c r="E132" i="33"/>
  <c r="M132" i="33"/>
  <c r="E131" i="33"/>
  <c r="M131" i="33"/>
  <c r="E130" i="33"/>
  <c r="M130" i="33"/>
  <c r="D138" i="33"/>
  <c r="L138" i="33"/>
  <c r="D137" i="33"/>
  <c r="L137" i="33"/>
  <c r="D136" i="33"/>
  <c r="L136" i="33"/>
  <c r="D135" i="33"/>
  <c r="L135" i="33"/>
  <c r="D134" i="33"/>
  <c r="L134" i="33"/>
  <c r="D133" i="33"/>
  <c r="L133" i="33"/>
  <c r="D132" i="33"/>
  <c r="L132" i="33"/>
  <c r="D131" i="33"/>
  <c r="L131" i="33"/>
  <c r="D130" i="33"/>
  <c r="L130" i="33"/>
  <c r="K138" i="33"/>
  <c r="K137" i="33"/>
  <c r="K136" i="33"/>
  <c r="K135" i="33"/>
  <c r="K134" i="33"/>
  <c r="K133" i="33"/>
  <c r="K132" i="33"/>
  <c r="K131" i="33"/>
  <c r="K130" i="33"/>
  <c r="J138" i="33"/>
  <c r="J137" i="33"/>
  <c r="J136" i="33"/>
  <c r="J135" i="33"/>
  <c r="J134" i="33"/>
  <c r="J133" i="33"/>
  <c r="J132" i="33"/>
  <c r="J131" i="33"/>
  <c r="J130" i="33"/>
  <c r="I138" i="33"/>
  <c r="I137" i="33"/>
  <c r="I136" i="33"/>
  <c r="I135" i="33"/>
  <c r="I134" i="33"/>
  <c r="I133" i="33"/>
  <c r="I132" i="33"/>
  <c r="I131" i="33"/>
  <c r="I130" i="33"/>
  <c r="L125" i="33"/>
  <c r="E125" i="33"/>
  <c r="M125" i="33"/>
  <c r="K139" i="33"/>
  <c r="G123" i="33"/>
  <c r="K123" i="33"/>
  <c r="G124" i="33"/>
  <c r="K124" i="33"/>
  <c r="K125" i="33"/>
  <c r="K126" i="33"/>
  <c r="K141" i="33"/>
  <c r="K148" i="33"/>
  <c r="N139" i="33"/>
  <c r="N123" i="33"/>
  <c r="N124" i="33"/>
  <c r="N125" i="33"/>
  <c r="N126" i="33"/>
  <c r="N141" i="33"/>
  <c r="N148" i="33"/>
  <c r="D123" i="33"/>
  <c r="L123" i="33"/>
  <c r="M123" i="33"/>
  <c r="I123" i="33"/>
  <c r="J125" i="33"/>
  <c r="I125" i="33"/>
  <c r="E124" i="33"/>
  <c r="J124" i="33"/>
  <c r="D124" i="33"/>
  <c r="I124" i="33"/>
  <c r="J142" i="47"/>
  <c r="J189" i="47"/>
  <c r="I142" i="47"/>
  <c r="I189" i="47"/>
  <c r="H142" i="47"/>
  <c r="H189" i="47"/>
  <c r="G142" i="47"/>
  <c r="G189" i="47"/>
  <c r="F142" i="47"/>
  <c r="F189" i="47"/>
  <c r="E142" i="47"/>
  <c r="E189" i="47"/>
  <c r="D142" i="47"/>
  <c r="D189" i="47"/>
  <c r="C142" i="47"/>
  <c r="C189" i="47"/>
  <c r="J131" i="47"/>
  <c r="J178" i="47"/>
  <c r="I131" i="47"/>
  <c r="I178" i="47"/>
  <c r="H131" i="47"/>
  <c r="H178" i="47"/>
  <c r="G131" i="47"/>
  <c r="G178" i="47"/>
  <c r="F131" i="47"/>
  <c r="F178" i="47"/>
  <c r="E131" i="47"/>
  <c r="E178" i="47"/>
  <c r="D131" i="47"/>
  <c r="D178" i="47"/>
  <c r="C131" i="47"/>
  <c r="C178" i="47"/>
  <c r="J144" i="47"/>
  <c r="J167" i="47"/>
  <c r="I144" i="47"/>
  <c r="I167" i="47"/>
  <c r="H144" i="47"/>
  <c r="H167" i="47"/>
  <c r="G144" i="47"/>
  <c r="G167" i="47"/>
  <c r="F144" i="47"/>
  <c r="F167" i="47"/>
  <c r="E144" i="47"/>
  <c r="E167" i="47"/>
  <c r="D144" i="47"/>
  <c r="D167" i="47"/>
  <c r="C144" i="47"/>
  <c r="C167" i="47"/>
  <c r="J143" i="47"/>
  <c r="J166" i="47"/>
  <c r="I143" i="47"/>
  <c r="I166" i="47"/>
  <c r="H143" i="47"/>
  <c r="H166" i="47"/>
  <c r="G143" i="47"/>
  <c r="G166" i="47"/>
  <c r="F143" i="47"/>
  <c r="F166" i="47"/>
  <c r="E143" i="47"/>
  <c r="E166" i="47"/>
  <c r="D143" i="47"/>
  <c r="D166" i="47"/>
  <c r="C143" i="47"/>
  <c r="C166" i="47"/>
  <c r="J165" i="47"/>
  <c r="I165" i="47"/>
  <c r="H165" i="47"/>
  <c r="G165" i="47"/>
  <c r="F165" i="47"/>
  <c r="E165" i="47"/>
  <c r="D165" i="47"/>
  <c r="C165" i="47"/>
  <c r="J133" i="47"/>
  <c r="J156" i="47"/>
  <c r="I133" i="47"/>
  <c r="I156" i="47"/>
  <c r="H133" i="47"/>
  <c r="H156" i="47"/>
  <c r="G133" i="47"/>
  <c r="G156" i="47"/>
  <c r="F133" i="47"/>
  <c r="F156" i="47"/>
  <c r="E133" i="47"/>
  <c r="E156" i="47"/>
  <c r="D133" i="47"/>
  <c r="D156" i="47"/>
  <c r="C133" i="47"/>
  <c r="C156" i="47"/>
  <c r="J132" i="47"/>
  <c r="J155" i="47"/>
  <c r="I132" i="47"/>
  <c r="I155" i="47"/>
  <c r="H132" i="47"/>
  <c r="H155" i="47"/>
  <c r="G132" i="47"/>
  <c r="G155" i="47"/>
  <c r="F132" i="47"/>
  <c r="F155" i="47"/>
  <c r="E132" i="47"/>
  <c r="E155" i="47"/>
  <c r="D132" i="47"/>
  <c r="D155" i="47"/>
  <c r="C132" i="47"/>
  <c r="C155" i="47"/>
  <c r="J154" i="47"/>
  <c r="I154" i="47"/>
  <c r="H154" i="47"/>
  <c r="G154" i="47"/>
  <c r="F154" i="47"/>
  <c r="E154" i="47"/>
  <c r="D154" i="47"/>
  <c r="C154" i="47"/>
  <c r="O25" i="33"/>
  <c r="O24" i="33"/>
  <c r="O31" i="33"/>
  <c r="O32" i="33"/>
  <c r="O33" i="33"/>
  <c r="O35" i="33"/>
  <c r="O34" i="33"/>
  <c r="O36" i="33"/>
  <c r="O26" i="33"/>
  <c r="O27" i="33"/>
  <c r="O28" i="33"/>
  <c r="O29" i="33"/>
  <c r="J107" i="47"/>
  <c r="I107" i="47"/>
  <c r="H107" i="47"/>
  <c r="G107" i="47"/>
  <c r="F107" i="47"/>
  <c r="E107" i="47"/>
  <c r="D107" i="47"/>
  <c r="C107" i="47"/>
  <c r="C121" i="47"/>
  <c r="J121" i="47"/>
  <c r="I121" i="47"/>
  <c r="H121" i="47"/>
  <c r="G121" i="47"/>
  <c r="F121" i="47"/>
  <c r="E121" i="47"/>
  <c r="D121" i="47"/>
  <c r="J115" i="47"/>
  <c r="I115" i="47"/>
  <c r="H115" i="47"/>
  <c r="G115" i="47"/>
  <c r="F115" i="47"/>
  <c r="E115" i="47"/>
  <c r="D115" i="47"/>
  <c r="C115" i="47"/>
  <c r="K147" i="42"/>
  <c r="J147" i="42"/>
  <c r="I147" i="42"/>
  <c r="H147" i="42"/>
  <c r="G147" i="42"/>
  <c r="F147" i="42"/>
  <c r="E147" i="42"/>
  <c r="K146" i="42"/>
  <c r="J146" i="42"/>
  <c r="I146" i="42"/>
  <c r="H146" i="42"/>
  <c r="G146" i="42"/>
  <c r="F146" i="42"/>
  <c r="E146" i="42"/>
  <c r="K145" i="42"/>
  <c r="J145" i="42"/>
  <c r="I145" i="42"/>
  <c r="H145" i="42"/>
  <c r="G145" i="42"/>
  <c r="F145" i="42"/>
  <c r="E145" i="42"/>
  <c r="K144" i="42"/>
  <c r="J144" i="42"/>
  <c r="I144" i="42"/>
  <c r="H144" i="42"/>
  <c r="G144" i="42"/>
  <c r="F144" i="42"/>
  <c r="E144" i="42"/>
  <c r="K143" i="42"/>
  <c r="J143" i="42"/>
  <c r="I143" i="42"/>
  <c r="H143" i="42"/>
  <c r="G143" i="42"/>
  <c r="F143" i="42"/>
  <c r="E143" i="42"/>
  <c r="I190" i="47"/>
  <c r="K116" i="42"/>
  <c r="H190" i="47"/>
  <c r="J116" i="42"/>
  <c r="G190" i="47"/>
  <c r="I116" i="42"/>
  <c r="F190" i="47"/>
  <c r="H116" i="42"/>
  <c r="E190" i="47"/>
  <c r="G116" i="42"/>
  <c r="D190" i="47"/>
  <c r="F116" i="42"/>
  <c r="C190" i="47"/>
  <c r="E116" i="42"/>
  <c r="K115" i="42"/>
  <c r="J115" i="42"/>
  <c r="I115" i="42"/>
  <c r="H115" i="42"/>
  <c r="G115" i="42"/>
  <c r="F115" i="42"/>
  <c r="E115" i="42"/>
  <c r="K114" i="42"/>
  <c r="J114" i="42"/>
  <c r="I114" i="42"/>
  <c r="H114" i="42"/>
  <c r="G114" i="42"/>
  <c r="F114" i="42"/>
  <c r="E114" i="42"/>
  <c r="K113" i="42"/>
  <c r="J113" i="42"/>
  <c r="I113" i="42"/>
  <c r="H113" i="42"/>
  <c r="G113" i="42"/>
  <c r="F113" i="42"/>
  <c r="E113" i="42"/>
  <c r="K112" i="42"/>
  <c r="J112" i="42"/>
  <c r="I112" i="42"/>
  <c r="H112" i="42"/>
  <c r="G112" i="42"/>
  <c r="F112" i="42"/>
  <c r="E112" i="42"/>
  <c r="K111" i="42"/>
  <c r="J111" i="42"/>
  <c r="I111" i="42"/>
  <c r="H111" i="42"/>
  <c r="G111" i="42"/>
  <c r="F111" i="42"/>
  <c r="E111" i="42"/>
  <c r="I191" i="47"/>
  <c r="I192" i="47"/>
  <c r="H191" i="47"/>
  <c r="H192" i="47"/>
  <c r="G191" i="47"/>
  <c r="G192" i="47"/>
  <c r="F191" i="47"/>
  <c r="F192" i="47"/>
  <c r="E191" i="47"/>
  <c r="E192" i="47"/>
  <c r="D191" i="47"/>
  <c r="D192" i="47"/>
  <c r="C191" i="47"/>
  <c r="C192" i="47"/>
  <c r="K62" i="42"/>
  <c r="J62" i="42"/>
  <c r="I62" i="42"/>
  <c r="H62" i="42"/>
  <c r="G62" i="42"/>
  <c r="F62" i="42"/>
  <c r="E62" i="42"/>
  <c r="K61" i="42"/>
  <c r="J61" i="42"/>
  <c r="I61" i="42"/>
  <c r="H61" i="42"/>
  <c r="G61" i="42"/>
  <c r="F61" i="42"/>
  <c r="E61" i="42"/>
  <c r="K60" i="42"/>
  <c r="J60" i="42"/>
  <c r="I60" i="42"/>
  <c r="H60" i="42"/>
  <c r="G60" i="42"/>
  <c r="F60" i="42"/>
  <c r="E60" i="42"/>
  <c r="K59" i="42"/>
  <c r="J59" i="42"/>
  <c r="I59" i="42"/>
  <c r="H59" i="42"/>
  <c r="G59" i="42"/>
  <c r="F59" i="42"/>
  <c r="E59" i="42"/>
  <c r="K58" i="42"/>
  <c r="J58" i="42"/>
  <c r="I58" i="42"/>
  <c r="H58" i="42"/>
  <c r="G58" i="42"/>
  <c r="F58" i="42"/>
  <c r="E58" i="42"/>
  <c r="I138" i="47"/>
  <c r="K57" i="42"/>
  <c r="H138" i="47"/>
  <c r="J57" i="42"/>
  <c r="G138" i="47"/>
  <c r="I57" i="42"/>
  <c r="F138" i="47"/>
  <c r="H57" i="42"/>
  <c r="E138" i="47"/>
  <c r="G57" i="42"/>
  <c r="D138" i="47"/>
  <c r="F57" i="42"/>
  <c r="C138" i="47"/>
  <c r="E57" i="42"/>
  <c r="K90" i="42"/>
  <c r="J90" i="42"/>
  <c r="I90" i="42"/>
  <c r="H90" i="42"/>
  <c r="G90" i="42"/>
  <c r="F90" i="42"/>
  <c r="E90" i="42"/>
  <c r="K89" i="42"/>
  <c r="J89" i="42"/>
  <c r="I89" i="42"/>
  <c r="H89" i="42"/>
  <c r="G89" i="42"/>
  <c r="F89" i="42"/>
  <c r="E89" i="42"/>
  <c r="K88" i="42"/>
  <c r="J88" i="42"/>
  <c r="I88" i="42"/>
  <c r="H88" i="42"/>
  <c r="G88" i="42"/>
  <c r="F88" i="42"/>
  <c r="E88" i="42"/>
  <c r="K87" i="42"/>
  <c r="J87" i="42"/>
  <c r="I87" i="42"/>
  <c r="H87" i="42"/>
  <c r="G87" i="42"/>
  <c r="F87" i="42"/>
  <c r="E87" i="42"/>
  <c r="K85" i="42"/>
  <c r="J85" i="42"/>
  <c r="I85" i="42"/>
  <c r="H85" i="42"/>
  <c r="G85" i="42"/>
  <c r="F85" i="42"/>
  <c r="E85" i="42"/>
  <c r="K86" i="42"/>
  <c r="J86" i="42"/>
  <c r="I86" i="42"/>
  <c r="H86" i="42"/>
  <c r="G86" i="42"/>
  <c r="F86" i="42"/>
  <c r="E86" i="42"/>
  <c r="J145" i="47"/>
  <c r="J138" i="47"/>
  <c r="I145" i="47"/>
  <c r="K31" i="42"/>
  <c r="H145" i="47"/>
  <c r="J31" i="42"/>
  <c r="G145" i="47"/>
  <c r="I31" i="42"/>
  <c r="F145" i="47"/>
  <c r="H31" i="42"/>
  <c r="E145" i="47"/>
  <c r="G31" i="42"/>
  <c r="D145" i="47"/>
  <c r="F31" i="42"/>
  <c r="K30" i="42"/>
  <c r="J30" i="42"/>
  <c r="I30" i="42"/>
  <c r="H30" i="42"/>
  <c r="G30" i="42"/>
  <c r="F30" i="42"/>
  <c r="K29" i="42"/>
  <c r="J29" i="42"/>
  <c r="I29" i="42"/>
  <c r="H29" i="42"/>
  <c r="G29" i="42"/>
  <c r="F29" i="42"/>
  <c r="K28" i="42"/>
  <c r="J28" i="42"/>
  <c r="I28" i="42"/>
  <c r="H28" i="42"/>
  <c r="G28" i="42"/>
  <c r="F28" i="42"/>
  <c r="C145" i="47"/>
  <c r="E31" i="42"/>
  <c r="E30" i="42"/>
  <c r="E29" i="42"/>
  <c r="E28" i="42"/>
  <c r="D167" i="33"/>
  <c r="E167" i="33"/>
  <c r="E186" i="33"/>
  <c r="AJ179" i="42"/>
  <c r="AJ178" i="42"/>
  <c r="AH179" i="42"/>
  <c r="AH178" i="42"/>
  <c r="AF179" i="42"/>
  <c r="AF178" i="42"/>
  <c r="AD179" i="42"/>
  <c r="AD178" i="42"/>
  <c r="AB179" i="42"/>
  <c r="AB178" i="42"/>
  <c r="AB177" i="42"/>
  <c r="Z179" i="42"/>
  <c r="Z178" i="42"/>
  <c r="Z177" i="42"/>
  <c r="X179" i="42"/>
  <c r="X178" i="42"/>
  <c r="V179" i="42"/>
  <c r="V178" i="42"/>
  <c r="V177" i="42"/>
  <c r="T179" i="42"/>
  <c r="T178" i="42"/>
  <c r="T177" i="42"/>
  <c r="R179" i="42"/>
  <c r="R178" i="42"/>
  <c r="R177" i="42"/>
  <c r="P179" i="42"/>
  <c r="P178" i="42"/>
  <c r="P177" i="42"/>
  <c r="N179" i="42"/>
  <c r="N178" i="42"/>
  <c r="AI176" i="42"/>
  <c r="AG176" i="42"/>
  <c r="AE176" i="42"/>
  <c r="AC176" i="42"/>
  <c r="Y176" i="42"/>
  <c r="W176" i="42"/>
  <c r="U176" i="42"/>
  <c r="S176" i="42"/>
  <c r="Q176" i="42"/>
  <c r="O176" i="42"/>
  <c r="M176" i="42"/>
  <c r="L179" i="42"/>
  <c r="L178" i="42"/>
  <c r="K176" i="42"/>
  <c r="J179" i="42"/>
  <c r="J178" i="42"/>
  <c r="I176" i="42"/>
  <c r="H179" i="42"/>
  <c r="H178" i="42"/>
  <c r="G176" i="42"/>
  <c r="E176" i="42"/>
  <c r="G126" i="33"/>
  <c r="G139" i="33"/>
  <c r="G141" i="33"/>
  <c r="G148" i="33"/>
  <c r="C112" i="47"/>
  <c r="C113" i="47"/>
  <c r="C114" i="47"/>
  <c r="C116" i="47"/>
  <c r="C117" i="47"/>
  <c r="C118" i="47"/>
  <c r="C119" i="47"/>
  <c r="C120" i="47"/>
  <c r="C122" i="47"/>
  <c r="J134" i="47"/>
  <c r="I134" i="47"/>
  <c r="H134" i="47"/>
  <c r="G134" i="47"/>
  <c r="F134" i="47"/>
  <c r="E134" i="47"/>
  <c r="D134" i="47"/>
  <c r="C134" i="47"/>
  <c r="J190" i="47"/>
  <c r="J191" i="47"/>
  <c r="J192" i="47"/>
  <c r="J179" i="47"/>
  <c r="J180" i="47"/>
  <c r="J181" i="47"/>
  <c r="I179" i="47"/>
  <c r="I180" i="47"/>
  <c r="I181" i="47"/>
  <c r="H179" i="47"/>
  <c r="H180" i="47"/>
  <c r="H181" i="47"/>
  <c r="G179" i="47"/>
  <c r="G180" i="47"/>
  <c r="G181" i="47"/>
  <c r="F179" i="47"/>
  <c r="F180" i="47"/>
  <c r="F181" i="47"/>
  <c r="E179" i="47"/>
  <c r="E180" i="47"/>
  <c r="E181" i="47"/>
  <c r="D179" i="47"/>
  <c r="D180" i="47"/>
  <c r="D181" i="47"/>
  <c r="C179" i="47"/>
  <c r="C180" i="47"/>
  <c r="C181" i="47"/>
  <c r="J168" i="47"/>
  <c r="I168" i="47"/>
  <c r="H168" i="47"/>
  <c r="G168" i="47"/>
  <c r="F168" i="47"/>
  <c r="E168" i="47"/>
  <c r="D168" i="47"/>
  <c r="C168" i="47"/>
  <c r="J157" i="47"/>
  <c r="I157" i="47"/>
  <c r="H157" i="47"/>
  <c r="G157" i="47"/>
  <c r="F157" i="47"/>
  <c r="E157" i="47"/>
  <c r="D157" i="47"/>
  <c r="C157" i="47"/>
  <c r="K202" i="47"/>
  <c r="L202" i="47"/>
  <c r="K207" i="47"/>
  <c r="L207" i="47"/>
  <c r="K209" i="47"/>
  <c r="L209" i="47"/>
  <c r="Y78" i="53"/>
  <c r="Y131" i="53"/>
  <c r="Y133" i="53"/>
  <c r="X133" i="53"/>
  <c r="W133" i="53"/>
  <c r="V78" i="53"/>
  <c r="V131" i="53"/>
  <c r="V133" i="53"/>
  <c r="U133" i="53"/>
  <c r="T133" i="53"/>
  <c r="S78" i="53"/>
  <c r="S131" i="53"/>
  <c r="S133" i="53"/>
  <c r="R133" i="53"/>
  <c r="Q133" i="53"/>
  <c r="P78" i="53"/>
  <c r="P131" i="53"/>
  <c r="P133" i="53"/>
  <c r="O133" i="53"/>
  <c r="N133" i="53"/>
  <c r="M78" i="53"/>
  <c r="M131" i="53"/>
  <c r="M133" i="53"/>
  <c r="L133" i="53"/>
  <c r="K133" i="53"/>
  <c r="J78" i="53"/>
  <c r="J131" i="53"/>
  <c r="J133" i="53"/>
  <c r="I133" i="53"/>
  <c r="H133" i="53"/>
  <c r="G78" i="53"/>
  <c r="G131" i="53"/>
  <c r="G133" i="53"/>
  <c r="F133" i="53"/>
  <c r="E133" i="53"/>
  <c r="D78" i="53"/>
  <c r="D131" i="53"/>
  <c r="D133" i="53"/>
  <c r="C133" i="53"/>
  <c r="B133" i="53"/>
  <c r="Y130" i="53"/>
  <c r="Y129" i="53"/>
  <c r="Y128" i="53"/>
  <c r="Y127" i="53"/>
  <c r="Y126" i="53"/>
  <c r="Y125" i="53"/>
  <c r="Y124" i="53"/>
  <c r="Y123" i="53"/>
  <c r="Y122" i="53"/>
  <c r="Y121" i="53"/>
  <c r="Y120" i="53"/>
  <c r="Y119" i="53"/>
  <c r="Y118" i="53"/>
  <c r="Y117" i="53"/>
  <c r="Y116" i="53"/>
  <c r="Y115" i="53"/>
  <c r="Y114" i="53"/>
  <c r="Y113" i="53"/>
  <c r="Y112" i="53"/>
  <c r="Y111" i="53"/>
  <c r="Y110" i="53"/>
  <c r="Y109" i="53"/>
  <c r="Y108" i="53"/>
  <c r="Y107" i="53"/>
  <c r="Y106" i="53"/>
  <c r="Y105" i="53"/>
  <c r="Y104" i="53"/>
  <c r="Y103" i="53"/>
  <c r="Y102" i="53"/>
  <c r="Y101" i="53"/>
  <c r="Y100" i="53"/>
  <c r="Y99" i="53"/>
  <c r="Y98" i="53"/>
  <c r="Y97" i="53"/>
  <c r="Y96" i="53"/>
  <c r="Y95" i="53"/>
  <c r="Y94" i="53"/>
  <c r="Y93" i="53"/>
  <c r="Y92" i="53"/>
  <c r="Y91" i="53"/>
  <c r="Y90" i="53"/>
  <c r="Y89" i="53"/>
  <c r="Y88" i="53"/>
  <c r="Y87" i="53"/>
  <c r="Y86" i="53"/>
  <c r="Y85" i="53"/>
  <c r="Y84" i="53"/>
  <c r="Y83" i="53"/>
  <c r="Y82" i="53"/>
  <c r="Y81" i="53"/>
  <c r="Y80" i="53"/>
  <c r="Y79" i="53"/>
  <c r="Y77" i="53"/>
  <c r="Y76" i="53"/>
  <c r="Y75" i="53"/>
  <c r="Y74" i="53"/>
  <c r="Y73" i="53"/>
  <c r="Y72" i="53"/>
  <c r="Y71" i="53"/>
  <c r="Y70" i="53"/>
  <c r="Y69" i="53"/>
  <c r="Y68" i="53"/>
  <c r="Y67" i="53"/>
  <c r="Y66" i="53"/>
  <c r="Y65" i="53"/>
  <c r="Y64" i="53"/>
  <c r="Y63" i="53"/>
  <c r="Y62" i="53"/>
  <c r="Y61" i="53"/>
  <c r="Y60" i="53"/>
  <c r="Y59" i="53"/>
  <c r="Y58" i="53"/>
  <c r="Y57" i="53"/>
  <c r="Y56" i="53"/>
  <c r="Y55" i="53"/>
  <c r="Y54" i="53"/>
  <c r="Y53" i="53"/>
  <c r="Y52" i="53"/>
  <c r="Y51" i="53"/>
  <c r="Y50" i="53"/>
  <c r="Y49" i="53"/>
  <c r="Y48" i="53"/>
  <c r="Y47" i="53"/>
  <c r="Y46" i="53"/>
  <c r="Y45" i="53"/>
  <c r="Y44" i="53"/>
  <c r="Y43" i="53"/>
  <c r="Y42" i="53"/>
  <c r="Y41" i="53"/>
  <c r="Y40" i="53"/>
  <c r="Y39" i="53"/>
  <c r="Y38" i="53"/>
  <c r="Y37" i="53"/>
  <c r="Y36" i="53"/>
  <c r="Y35" i="53"/>
  <c r="Y34" i="53"/>
  <c r="Y33" i="53"/>
  <c r="Y32" i="53"/>
  <c r="Y31" i="53"/>
  <c r="Y30" i="53"/>
  <c r="Y29" i="53"/>
  <c r="Y28" i="53"/>
  <c r="Y27" i="53"/>
  <c r="Y26" i="53"/>
  <c r="Y25" i="53"/>
  <c r="Y24" i="53"/>
  <c r="Y23" i="53"/>
  <c r="Y22" i="53"/>
  <c r="Y21" i="53"/>
  <c r="Y20" i="53"/>
  <c r="Y19" i="53"/>
  <c r="Y18" i="53"/>
  <c r="Y17" i="53"/>
  <c r="Y16" i="53"/>
  <c r="Y15" i="53"/>
  <c r="Y14" i="53"/>
  <c r="Y13" i="53"/>
  <c r="Y12" i="53"/>
  <c r="Y11" i="53"/>
  <c r="Y10" i="53"/>
  <c r="V130" i="53"/>
  <c r="V129" i="53"/>
  <c r="V128" i="53"/>
  <c r="V127" i="53"/>
  <c r="V126" i="53"/>
  <c r="V125" i="53"/>
  <c r="V124" i="53"/>
  <c r="V123" i="53"/>
  <c r="V122" i="53"/>
  <c r="V121" i="53"/>
  <c r="V120" i="53"/>
  <c r="V119" i="53"/>
  <c r="V118" i="53"/>
  <c r="V117" i="53"/>
  <c r="V116" i="53"/>
  <c r="V115" i="53"/>
  <c r="V114" i="53"/>
  <c r="V113" i="53"/>
  <c r="V112" i="53"/>
  <c r="V111" i="53"/>
  <c r="V110" i="53"/>
  <c r="V109" i="53"/>
  <c r="V108" i="53"/>
  <c r="V107" i="53"/>
  <c r="V106" i="53"/>
  <c r="V105" i="53"/>
  <c r="V104" i="53"/>
  <c r="V103" i="53"/>
  <c r="V102" i="53"/>
  <c r="V101" i="53"/>
  <c r="V100" i="53"/>
  <c r="V99" i="53"/>
  <c r="V98" i="53"/>
  <c r="V97" i="53"/>
  <c r="V96" i="53"/>
  <c r="V95" i="53"/>
  <c r="V94" i="53"/>
  <c r="V93" i="53"/>
  <c r="V92" i="53"/>
  <c r="V91" i="53"/>
  <c r="V90" i="53"/>
  <c r="V89" i="53"/>
  <c r="V88" i="53"/>
  <c r="V87" i="53"/>
  <c r="V86" i="53"/>
  <c r="V85" i="53"/>
  <c r="V84" i="53"/>
  <c r="V83" i="53"/>
  <c r="V82" i="53"/>
  <c r="V81" i="53"/>
  <c r="V80" i="53"/>
  <c r="V79" i="53"/>
  <c r="V77" i="53"/>
  <c r="V76" i="53"/>
  <c r="V75" i="53"/>
  <c r="V74" i="53"/>
  <c r="V73" i="53"/>
  <c r="V72" i="53"/>
  <c r="V71" i="53"/>
  <c r="V70" i="53"/>
  <c r="V69" i="53"/>
  <c r="V68" i="53"/>
  <c r="V67" i="53"/>
  <c r="V66" i="53"/>
  <c r="V65" i="53"/>
  <c r="V64" i="53"/>
  <c r="V63" i="53"/>
  <c r="V62" i="53"/>
  <c r="V61" i="53"/>
  <c r="V60" i="53"/>
  <c r="V59" i="53"/>
  <c r="V58" i="53"/>
  <c r="V57" i="53"/>
  <c r="V56" i="53"/>
  <c r="V55" i="53"/>
  <c r="V54" i="53"/>
  <c r="V53" i="53"/>
  <c r="V52" i="53"/>
  <c r="V51" i="53"/>
  <c r="V50" i="53"/>
  <c r="V49" i="53"/>
  <c r="V48" i="53"/>
  <c r="V47" i="53"/>
  <c r="V46" i="53"/>
  <c r="V45" i="53"/>
  <c r="V44" i="53"/>
  <c r="V43" i="53"/>
  <c r="V42" i="53"/>
  <c r="V41" i="53"/>
  <c r="V40" i="53"/>
  <c r="V39" i="53"/>
  <c r="V38" i="53"/>
  <c r="V37" i="53"/>
  <c r="V36" i="53"/>
  <c r="V35" i="53"/>
  <c r="V34" i="53"/>
  <c r="V33" i="53"/>
  <c r="V32" i="53"/>
  <c r="V31" i="53"/>
  <c r="V30" i="53"/>
  <c r="V29" i="53"/>
  <c r="V28" i="53"/>
  <c r="V27" i="53"/>
  <c r="V26" i="53"/>
  <c r="V25" i="53"/>
  <c r="V24" i="53"/>
  <c r="V23" i="53"/>
  <c r="V22" i="53"/>
  <c r="V21" i="53"/>
  <c r="V20" i="53"/>
  <c r="V19" i="53"/>
  <c r="V18" i="53"/>
  <c r="V17" i="53"/>
  <c r="V16" i="53"/>
  <c r="V15" i="53"/>
  <c r="V14" i="53"/>
  <c r="V13" i="53"/>
  <c r="V12" i="53"/>
  <c r="V11" i="53"/>
  <c r="V10" i="53"/>
  <c r="S130" i="53"/>
  <c r="S129" i="53"/>
  <c r="S128" i="53"/>
  <c r="S127" i="53"/>
  <c r="S126" i="53"/>
  <c r="S125" i="53"/>
  <c r="S124" i="53"/>
  <c r="S123" i="53"/>
  <c r="S122" i="53"/>
  <c r="S121" i="53"/>
  <c r="S120" i="53"/>
  <c r="S119" i="53"/>
  <c r="S118" i="53"/>
  <c r="S117" i="53"/>
  <c r="S116" i="53"/>
  <c r="S115" i="53"/>
  <c r="S114" i="53"/>
  <c r="S113" i="53"/>
  <c r="S112" i="53"/>
  <c r="S111" i="53"/>
  <c r="S110" i="53"/>
  <c r="S109" i="53"/>
  <c r="S108" i="53"/>
  <c r="S107" i="53"/>
  <c r="S106" i="53"/>
  <c r="S105" i="53"/>
  <c r="S104" i="53"/>
  <c r="S103" i="53"/>
  <c r="S102" i="53"/>
  <c r="S101" i="53"/>
  <c r="S100" i="53"/>
  <c r="S99" i="53"/>
  <c r="S98" i="53"/>
  <c r="S97" i="53"/>
  <c r="S96" i="53"/>
  <c r="S95" i="53"/>
  <c r="S94" i="53"/>
  <c r="S93" i="53"/>
  <c r="S92" i="53"/>
  <c r="S91" i="53"/>
  <c r="S90" i="53"/>
  <c r="S89" i="53"/>
  <c r="S88" i="53"/>
  <c r="S87" i="53"/>
  <c r="S86" i="53"/>
  <c r="S85" i="53"/>
  <c r="S84" i="53"/>
  <c r="S83" i="53"/>
  <c r="S82" i="53"/>
  <c r="S81" i="53"/>
  <c r="S80" i="53"/>
  <c r="S79" i="53"/>
  <c r="S77" i="53"/>
  <c r="S76" i="53"/>
  <c r="S75" i="53"/>
  <c r="S74" i="53"/>
  <c r="S73" i="53"/>
  <c r="S72" i="53"/>
  <c r="S71" i="53"/>
  <c r="S70" i="53"/>
  <c r="S69" i="53"/>
  <c r="S68" i="53"/>
  <c r="S67" i="53"/>
  <c r="S66" i="53"/>
  <c r="S65" i="53"/>
  <c r="S64" i="53"/>
  <c r="S63" i="53"/>
  <c r="S62" i="53"/>
  <c r="S61" i="53"/>
  <c r="S60" i="53"/>
  <c r="S59" i="53"/>
  <c r="S58" i="53"/>
  <c r="S57" i="53"/>
  <c r="S56" i="53"/>
  <c r="S55" i="53"/>
  <c r="S54" i="53"/>
  <c r="S53" i="53"/>
  <c r="S52" i="53"/>
  <c r="S51" i="53"/>
  <c r="S50" i="53"/>
  <c r="S49" i="53"/>
  <c r="S48" i="53"/>
  <c r="S47" i="53"/>
  <c r="S46" i="53"/>
  <c r="S45" i="53"/>
  <c r="S44" i="53"/>
  <c r="S43" i="53"/>
  <c r="S42" i="53"/>
  <c r="S41" i="53"/>
  <c r="S40" i="53"/>
  <c r="S39" i="53"/>
  <c r="S38" i="53"/>
  <c r="S37" i="53"/>
  <c r="S36" i="53"/>
  <c r="S35" i="53"/>
  <c r="S34" i="53"/>
  <c r="S33" i="53"/>
  <c r="S32" i="53"/>
  <c r="S31" i="53"/>
  <c r="S30" i="53"/>
  <c r="S29" i="53"/>
  <c r="S28" i="53"/>
  <c r="S27" i="53"/>
  <c r="S26" i="53"/>
  <c r="S25" i="53"/>
  <c r="S24" i="53"/>
  <c r="S23" i="53"/>
  <c r="S22" i="53"/>
  <c r="S21" i="53"/>
  <c r="S20" i="53"/>
  <c r="S19" i="53"/>
  <c r="S18" i="53"/>
  <c r="S17" i="53"/>
  <c r="S16" i="53"/>
  <c r="S15" i="53"/>
  <c r="S14" i="53"/>
  <c r="S13" i="53"/>
  <c r="S12" i="53"/>
  <c r="S11" i="53"/>
  <c r="S10" i="53"/>
  <c r="P130" i="53"/>
  <c r="P129" i="53"/>
  <c r="P128" i="53"/>
  <c r="P127" i="53"/>
  <c r="P126" i="53"/>
  <c r="P125" i="53"/>
  <c r="P124" i="53"/>
  <c r="P123" i="53"/>
  <c r="P122" i="53"/>
  <c r="P121" i="53"/>
  <c r="P120" i="53"/>
  <c r="P119" i="53"/>
  <c r="P118" i="53"/>
  <c r="P117" i="53"/>
  <c r="P116" i="53"/>
  <c r="P115" i="53"/>
  <c r="P114" i="53"/>
  <c r="P113" i="53"/>
  <c r="P112" i="53"/>
  <c r="P111" i="53"/>
  <c r="P110" i="53"/>
  <c r="P109" i="53"/>
  <c r="P108" i="53"/>
  <c r="P107" i="53"/>
  <c r="P106" i="53"/>
  <c r="P105" i="53"/>
  <c r="P104" i="53"/>
  <c r="P103" i="53"/>
  <c r="P102" i="53"/>
  <c r="P101" i="53"/>
  <c r="P100" i="53"/>
  <c r="P99" i="53"/>
  <c r="P98" i="53"/>
  <c r="P97" i="53"/>
  <c r="P96" i="53"/>
  <c r="P95" i="53"/>
  <c r="P94" i="53"/>
  <c r="P93" i="53"/>
  <c r="P92" i="53"/>
  <c r="P91" i="53"/>
  <c r="P90" i="53"/>
  <c r="P89" i="53"/>
  <c r="P88" i="53"/>
  <c r="P87" i="53"/>
  <c r="P86" i="53"/>
  <c r="P85" i="53"/>
  <c r="P84" i="53"/>
  <c r="P83" i="53"/>
  <c r="P82" i="53"/>
  <c r="P81" i="53"/>
  <c r="P80" i="53"/>
  <c r="P79" i="53"/>
  <c r="P77" i="53"/>
  <c r="P76" i="53"/>
  <c r="P75" i="53"/>
  <c r="P74" i="53"/>
  <c r="P73" i="53"/>
  <c r="P72" i="53"/>
  <c r="P71" i="53"/>
  <c r="P70" i="53"/>
  <c r="P69" i="53"/>
  <c r="P68" i="53"/>
  <c r="P67" i="53"/>
  <c r="P66" i="53"/>
  <c r="P65" i="53"/>
  <c r="P64" i="53"/>
  <c r="P63" i="53"/>
  <c r="P62" i="53"/>
  <c r="P61" i="53"/>
  <c r="P60" i="53"/>
  <c r="P59" i="53"/>
  <c r="P58" i="53"/>
  <c r="P57" i="53"/>
  <c r="P56" i="53"/>
  <c r="P55" i="53"/>
  <c r="P54" i="53"/>
  <c r="P53" i="53"/>
  <c r="P52" i="53"/>
  <c r="P51" i="53"/>
  <c r="P50" i="53"/>
  <c r="P49" i="53"/>
  <c r="P48" i="53"/>
  <c r="P47" i="53"/>
  <c r="P46" i="53"/>
  <c r="P45" i="53"/>
  <c r="P44" i="53"/>
  <c r="P43" i="53"/>
  <c r="P42" i="53"/>
  <c r="P41" i="53"/>
  <c r="P40" i="53"/>
  <c r="P39" i="53"/>
  <c r="P38" i="53"/>
  <c r="P37" i="53"/>
  <c r="P36" i="53"/>
  <c r="P35" i="53"/>
  <c r="P34" i="53"/>
  <c r="P33" i="53"/>
  <c r="P32" i="53"/>
  <c r="P31" i="53"/>
  <c r="P30" i="53"/>
  <c r="P29" i="53"/>
  <c r="P28" i="53"/>
  <c r="P27" i="53"/>
  <c r="P26" i="53"/>
  <c r="P25" i="53"/>
  <c r="P24" i="53"/>
  <c r="P23" i="53"/>
  <c r="P22" i="53"/>
  <c r="P21" i="53"/>
  <c r="P20" i="53"/>
  <c r="P19" i="53"/>
  <c r="P18" i="53"/>
  <c r="P17" i="53"/>
  <c r="P16" i="53"/>
  <c r="P15" i="53"/>
  <c r="P14" i="53"/>
  <c r="P13" i="53"/>
  <c r="P12" i="53"/>
  <c r="P11" i="53"/>
  <c r="P10" i="53"/>
  <c r="M130" i="53"/>
  <c r="M129" i="53"/>
  <c r="M128" i="53"/>
  <c r="M127" i="53"/>
  <c r="M126" i="53"/>
  <c r="M125" i="53"/>
  <c r="M124" i="53"/>
  <c r="M123" i="53"/>
  <c r="M122" i="53"/>
  <c r="M121" i="53"/>
  <c r="M120" i="53"/>
  <c r="M119" i="53"/>
  <c r="M118" i="53"/>
  <c r="M117" i="53"/>
  <c r="M116" i="53"/>
  <c r="M115" i="53"/>
  <c r="M114" i="53"/>
  <c r="M113" i="53"/>
  <c r="M112" i="53"/>
  <c r="M111" i="53"/>
  <c r="M110" i="53"/>
  <c r="M109" i="53"/>
  <c r="M108" i="53"/>
  <c r="M107" i="53"/>
  <c r="M106" i="53"/>
  <c r="M105" i="53"/>
  <c r="M104" i="53"/>
  <c r="M103" i="53"/>
  <c r="M102" i="53"/>
  <c r="M101" i="53"/>
  <c r="M100" i="53"/>
  <c r="M99" i="53"/>
  <c r="M98" i="53"/>
  <c r="M97" i="53"/>
  <c r="M96" i="53"/>
  <c r="M95" i="53"/>
  <c r="M94" i="53"/>
  <c r="M93" i="53"/>
  <c r="M92" i="53"/>
  <c r="M91" i="53"/>
  <c r="M90" i="53"/>
  <c r="M89" i="53"/>
  <c r="M88" i="53"/>
  <c r="M87" i="53"/>
  <c r="M86" i="53"/>
  <c r="M85" i="53"/>
  <c r="M84" i="53"/>
  <c r="M83" i="53"/>
  <c r="M82" i="53"/>
  <c r="M81" i="53"/>
  <c r="M80" i="53"/>
  <c r="M79" i="53"/>
  <c r="M77" i="53"/>
  <c r="M76" i="53"/>
  <c r="M75" i="53"/>
  <c r="M74" i="53"/>
  <c r="M73" i="53"/>
  <c r="M72" i="53"/>
  <c r="M71" i="53"/>
  <c r="M70" i="53"/>
  <c r="M69" i="53"/>
  <c r="M68" i="53"/>
  <c r="M67" i="53"/>
  <c r="M66" i="53"/>
  <c r="M65" i="53"/>
  <c r="M64" i="53"/>
  <c r="M63" i="53"/>
  <c r="M62" i="53"/>
  <c r="M61" i="53"/>
  <c r="M60" i="53"/>
  <c r="M59" i="53"/>
  <c r="M58" i="53"/>
  <c r="M57" i="53"/>
  <c r="M56" i="53"/>
  <c r="M55" i="53"/>
  <c r="M54" i="53"/>
  <c r="M53" i="53"/>
  <c r="M52" i="53"/>
  <c r="M51" i="53"/>
  <c r="M50" i="53"/>
  <c r="M49" i="53"/>
  <c r="M48" i="53"/>
  <c r="M47" i="53"/>
  <c r="M46" i="53"/>
  <c r="M45" i="53"/>
  <c r="M44" i="53"/>
  <c r="M43" i="53"/>
  <c r="M42" i="53"/>
  <c r="M41" i="53"/>
  <c r="M40" i="53"/>
  <c r="M39" i="53"/>
  <c r="M38" i="53"/>
  <c r="M37" i="53"/>
  <c r="M36" i="53"/>
  <c r="M35" i="53"/>
  <c r="M34" i="53"/>
  <c r="M33" i="53"/>
  <c r="M32" i="53"/>
  <c r="M31" i="53"/>
  <c r="M30" i="53"/>
  <c r="M29" i="53"/>
  <c r="M28" i="53"/>
  <c r="M27" i="53"/>
  <c r="M26" i="53"/>
  <c r="M25" i="53"/>
  <c r="M24" i="53"/>
  <c r="M23" i="53"/>
  <c r="M22" i="53"/>
  <c r="M21" i="53"/>
  <c r="M20" i="53"/>
  <c r="M19" i="53"/>
  <c r="M18" i="53"/>
  <c r="M17" i="53"/>
  <c r="M16" i="53"/>
  <c r="M15" i="53"/>
  <c r="M14" i="53"/>
  <c r="M13" i="53"/>
  <c r="M12" i="53"/>
  <c r="M11" i="53"/>
  <c r="M10" i="53"/>
  <c r="J130" i="53"/>
  <c r="J129" i="53"/>
  <c r="J128" i="53"/>
  <c r="J127" i="53"/>
  <c r="J126" i="53"/>
  <c r="J125" i="53"/>
  <c r="J124" i="53"/>
  <c r="J123" i="53"/>
  <c r="J122" i="53"/>
  <c r="J121" i="53"/>
  <c r="J120" i="53"/>
  <c r="J119" i="53"/>
  <c r="J118" i="53"/>
  <c r="J117" i="53"/>
  <c r="J116" i="53"/>
  <c r="J115" i="53"/>
  <c r="J114" i="53"/>
  <c r="J113" i="53"/>
  <c r="J112" i="53"/>
  <c r="J111" i="53"/>
  <c r="J110" i="53"/>
  <c r="J109" i="53"/>
  <c r="J108" i="53"/>
  <c r="J107" i="53"/>
  <c r="J106" i="53"/>
  <c r="J105" i="53"/>
  <c r="J104" i="53"/>
  <c r="J103" i="53"/>
  <c r="J102" i="53"/>
  <c r="J101" i="53"/>
  <c r="J100" i="53"/>
  <c r="J99" i="53"/>
  <c r="J98" i="53"/>
  <c r="J97" i="53"/>
  <c r="J96" i="53"/>
  <c r="J95" i="53"/>
  <c r="J94" i="53"/>
  <c r="J93" i="53"/>
  <c r="J92" i="53"/>
  <c r="J91" i="53"/>
  <c r="J90" i="53"/>
  <c r="J89" i="53"/>
  <c r="J88" i="53"/>
  <c r="J87" i="53"/>
  <c r="J86" i="53"/>
  <c r="J85" i="53"/>
  <c r="J84" i="53"/>
  <c r="J83" i="53"/>
  <c r="J82" i="53"/>
  <c r="J81" i="53"/>
  <c r="J80" i="53"/>
  <c r="J79" i="53"/>
  <c r="J77" i="53"/>
  <c r="J76" i="53"/>
  <c r="J75" i="53"/>
  <c r="J74" i="53"/>
  <c r="J73" i="53"/>
  <c r="J72" i="53"/>
  <c r="J71" i="53"/>
  <c r="J70" i="53"/>
  <c r="J69" i="53"/>
  <c r="J68" i="53"/>
  <c r="J67" i="53"/>
  <c r="J66" i="53"/>
  <c r="J65" i="53"/>
  <c r="J64" i="53"/>
  <c r="J63" i="53"/>
  <c r="J62" i="53"/>
  <c r="J61" i="53"/>
  <c r="J60" i="53"/>
  <c r="J59" i="53"/>
  <c r="J58" i="53"/>
  <c r="J57" i="53"/>
  <c r="J56" i="53"/>
  <c r="J55" i="53"/>
  <c r="J54" i="53"/>
  <c r="J53" i="53"/>
  <c r="J52" i="53"/>
  <c r="J51" i="53"/>
  <c r="J50" i="53"/>
  <c r="J49" i="53"/>
  <c r="J48" i="53"/>
  <c r="J47" i="53"/>
  <c r="J46" i="53"/>
  <c r="J45" i="53"/>
  <c r="J44" i="53"/>
  <c r="J43" i="53"/>
  <c r="J42" i="53"/>
  <c r="J41" i="53"/>
  <c r="J40" i="53"/>
  <c r="J39" i="53"/>
  <c r="J38" i="53"/>
  <c r="J37" i="53"/>
  <c r="J36" i="53"/>
  <c r="J35" i="53"/>
  <c r="J34" i="53"/>
  <c r="J33" i="53"/>
  <c r="J32" i="53"/>
  <c r="J31" i="53"/>
  <c r="J30" i="53"/>
  <c r="J29" i="53"/>
  <c r="J28" i="53"/>
  <c r="J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0" i="53"/>
  <c r="G130" i="53"/>
  <c r="G129" i="53"/>
  <c r="G128" i="53"/>
  <c r="G127" i="53"/>
  <c r="G126" i="53"/>
  <c r="G125" i="53"/>
  <c r="G124" i="53"/>
  <c r="G123" i="53"/>
  <c r="G122" i="53"/>
  <c r="G121" i="53"/>
  <c r="G120" i="53"/>
  <c r="G119" i="53"/>
  <c r="G118" i="53"/>
  <c r="G117" i="53"/>
  <c r="G116" i="53"/>
  <c r="G115" i="53"/>
  <c r="G114" i="53"/>
  <c r="G113" i="53"/>
  <c r="G112" i="53"/>
  <c r="G111" i="53"/>
  <c r="G110" i="53"/>
  <c r="G109" i="53"/>
  <c r="G108" i="53"/>
  <c r="G107" i="53"/>
  <c r="G106" i="53"/>
  <c r="G105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D130" i="53"/>
  <c r="D129" i="53"/>
  <c r="D128" i="53"/>
  <c r="D127" i="53"/>
  <c r="D126" i="53"/>
  <c r="D125" i="53"/>
  <c r="D124" i="53"/>
  <c r="D123" i="53"/>
  <c r="D122" i="53"/>
  <c r="D121" i="53"/>
  <c r="D120" i="53"/>
  <c r="D119" i="53"/>
  <c r="D118" i="53"/>
  <c r="D117" i="53"/>
  <c r="D116" i="53"/>
  <c r="D115" i="53"/>
  <c r="D114" i="53"/>
  <c r="D113" i="53"/>
  <c r="D112" i="53"/>
  <c r="D111" i="53"/>
  <c r="D110" i="53"/>
  <c r="D109" i="53"/>
  <c r="D108" i="53"/>
  <c r="D107" i="53"/>
  <c r="D106" i="53"/>
  <c r="D105" i="53"/>
  <c r="D104" i="53"/>
  <c r="D103" i="53"/>
  <c r="D102" i="53"/>
  <c r="D101" i="53"/>
  <c r="D100" i="53"/>
  <c r="D99" i="53"/>
  <c r="D98" i="53"/>
  <c r="D97" i="53"/>
  <c r="D96" i="53"/>
  <c r="D95" i="53"/>
  <c r="D94" i="53"/>
  <c r="D93" i="53"/>
  <c r="D92" i="53"/>
  <c r="D91" i="53"/>
  <c r="D90" i="53"/>
  <c r="D89" i="53"/>
  <c r="D88" i="53"/>
  <c r="D87" i="53"/>
  <c r="D86" i="53"/>
  <c r="D85" i="53"/>
  <c r="D84" i="53"/>
  <c r="D83" i="53"/>
  <c r="D82" i="53"/>
  <c r="D81" i="53"/>
  <c r="D80" i="53"/>
  <c r="D79" i="53"/>
  <c r="D77" i="53"/>
  <c r="D76" i="53"/>
  <c r="D75" i="53"/>
  <c r="D74" i="53"/>
  <c r="D73" i="53"/>
  <c r="D72" i="53"/>
  <c r="D71" i="53"/>
  <c r="D70" i="53"/>
  <c r="D69" i="53"/>
  <c r="D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J112" i="47"/>
  <c r="J113" i="47"/>
  <c r="J114" i="47"/>
  <c r="J116" i="47"/>
  <c r="J117" i="47"/>
  <c r="J118" i="47"/>
  <c r="J119" i="47"/>
  <c r="J120" i="47"/>
  <c r="J122" i="47"/>
  <c r="J98" i="47"/>
  <c r="J99" i="47"/>
  <c r="J100" i="47"/>
  <c r="J101" i="47"/>
  <c r="J102" i="47"/>
  <c r="J103" i="47"/>
  <c r="J104" i="47"/>
  <c r="J105" i="47"/>
  <c r="J106" i="47"/>
  <c r="J108" i="47"/>
  <c r="I112" i="47"/>
  <c r="I113" i="47"/>
  <c r="I114" i="47"/>
  <c r="I116" i="47"/>
  <c r="I117" i="47"/>
  <c r="I118" i="47"/>
  <c r="I119" i="47"/>
  <c r="I120" i="47"/>
  <c r="I122" i="47"/>
  <c r="I98" i="47"/>
  <c r="I99" i="47"/>
  <c r="I100" i="47"/>
  <c r="I101" i="47"/>
  <c r="I102" i="47"/>
  <c r="I103" i="47"/>
  <c r="I104" i="47"/>
  <c r="I105" i="47"/>
  <c r="I106" i="47"/>
  <c r="I108" i="47"/>
  <c r="H112" i="47"/>
  <c r="H113" i="47"/>
  <c r="H114" i="47"/>
  <c r="H116" i="47"/>
  <c r="H117" i="47"/>
  <c r="H118" i="47"/>
  <c r="H119" i="47"/>
  <c r="H120" i="47"/>
  <c r="H122" i="47"/>
  <c r="H98" i="47"/>
  <c r="H99" i="47"/>
  <c r="H100" i="47"/>
  <c r="H101" i="47"/>
  <c r="H102" i="47"/>
  <c r="H103" i="47"/>
  <c r="H104" i="47"/>
  <c r="H105" i="47"/>
  <c r="H106" i="47"/>
  <c r="H108" i="47"/>
  <c r="G112" i="47"/>
  <c r="G113" i="47"/>
  <c r="G114" i="47"/>
  <c r="G116" i="47"/>
  <c r="G117" i="47"/>
  <c r="G118" i="47"/>
  <c r="G119" i="47"/>
  <c r="G120" i="47"/>
  <c r="G122" i="47"/>
  <c r="G98" i="47"/>
  <c r="G99" i="47"/>
  <c r="G100" i="47"/>
  <c r="G101" i="47"/>
  <c r="G102" i="47"/>
  <c r="G103" i="47"/>
  <c r="G104" i="47"/>
  <c r="G105" i="47"/>
  <c r="G106" i="47"/>
  <c r="G108" i="47"/>
  <c r="F112" i="47"/>
  <c r="F113" i="47"/>
  <c r="F114" i="47"/>
  <c r="F116" i="47"/>
  <c r="F117" i="47"/>
  <c r="F118" i="47"/>
  <c r="F119" i="47"/>
  <c r="F120" i="47"/>
  <c r="F122" i="47"/>
  <c r="F98" i="47"/>
  <c r="F99" i="47"/>
  <c r="F100" i="47"/>
  <c r="F101" i="47"/>
  <c r="F102" i="47"/>
  <c r="F103" i="47"/>
  <c r="F104" i="47"/>
  <c r="F105" i="47"/>
  <c r="F106" i="47"/>
  <c r="F108" i="47"/>
  <c r="E112" i="47"/>
  <c r="E113" i="47"/>
  <c r="E114" i="47"/>
  <c r="E116" i="47"/>
  <c r="E117" i="47"/>
  <c r="E118" i="47"/>
  <c r="E119" i="47"/>
  <c r="E120" i="47"/>
  <c r="E122" i="47"/>
  <c r="E98" i="47"/>
  <c r="E99" i="47"/>
  <c r="E100" i="47"/>
  <c r="E101" i="47"/>
  <c r="E102" i="47"/>
  <c r="E103" i="47"/>
  <c r="E104" i="47"/>
  <c r="E105" i="47"/>
  <c r="E106" i="47"/>
  <c r="E108" i="47"/>
  <c r="D112" i="47"/>
  <c r="D113" i="47"/>
  <c r="D114" i="47"/>
  <c r="D116" i="47"/>
  <c r="D117" i="47"/>
  <c r="D118" i="47"/>
  <c r="D119" i="47"/>
  <c r="D120" i="47"/>
  <c r="D122" i="47"/>
  <c r="D98" i="47"/>
  <c r="D99" i="47"/>
  <c r="D100" i="47"/>
  <c r="D101" i="47"/>
  <c r="D102" i="47"/>
  <c r="D103" i="47"/>
  <c r="D104" i="47"/>
  <c r="D105" i="47"/>
  <c r="D106" i="47"/>
  <c r="D108" i="47"/>
  <c r="J127" i="47"/>
  <c r="I127" i="47"/>
  <c r="H127" i="47"/>
  <c r="G127" i="47"/>
  <c r="F127" i="47"/>
  <c r="E127" i="47"/>
  <c r="D127" i="47"/>
  <c r="C127" i="47"/>
  <c r="AJ195" i="42"/>
  <c r="AJ191" i="42"/>
  <c r="AJ180" i="42"/>
  <c r="AJ192" i="42"/>
  <c r="AJ196" i="42"/>
  <c r="AI195" i="42"/>
  <c r="AI191" i="42"/>
  <c r="AI180" i="42"/>
  <c r="AI192" i="42"/>
  <c r="AI196" i="42"/>
  <c r="AH195" i="42"/>
  <c r="AH191" i="42"/>
  <c r="AH180" i="42"/>
  <c r="AH192" i="42"/>
  <c r="AH196" i="42"/>
  <c r="AG195" i="42"/>
  <c r="AG191" i="42"/>
  <c r="AG180" i="42"/>
  <c r="AG192" i="42"/>
  <c r="AG196" i="42"/>
  <c r="AF195" i="42"/>
  <c r="AF191" i="42"/>
  <c r="AF180" i="42"/>
  <c r="AF192" i="42"/>
  <c r="AF196" i="42"/>
  <c r="AE195" i="42"/>
  <c r="AE191" i="42"/>
  <c r="AE180" i="42"/>
  <c r="AE192" i="42"/>
  <c r="AE196" i="42"/>
  <c r="AD195" i="42"/>
  <c r="AD191" i="42"/>
  <c r="AD180" i="42"/>
  <c r="AD192" i="42"/>
  <c r="AD196" i="42"/>
  <c r="AC195" i="42"/>
  <c r="AC191" i="42"/>
  <c r="AC180" i="42"/>
  <c r="AC192" i="42"/>
  <c r="AC196" i="42"/>
  <c r="AB195" i="42"/>
  <c r="AB191" i="42"/>
  <c r="AB180" i="42"/>
  <c r="AB192" i="42"/>
  <c r="AB196" i="42"/>
  <c r="AA195" i="42"/>
  <c r="AA191" i="42"/>
  <c r="AA180" i="42"/>
  <c r="AA192" i="42"/>
  <c r="AA196" i="42"/>
  <c r="Z195" i="42"/>
  <c r="Z191" i="42"/>
  <c r="Z180" i="42"/>
  <c r="Z192" i="42"/>
  <c r="Z196" i="42"/>
  <c r="Y195" i="42"/>
  <c r="Y191" i="42"/>
  <c r="Y180" i="42"/>
  <c r="Y192" i="42"/>
  <c r="Y196" i="42"/>
  <c r="X195" i="42"/>
  <c r="X191" i="42"/>
  <c r="X180" i="42"/>
  <c r="X192" i="42"/>
  <c r="X196" i="42"/>
  <c r="W195" i="42"/>
  <c r="W191" i="42"/>
  <c r="W180" i="42"/>
  <c r="W192" i="42"/>
  <c r="W196" i="42"/>
  <c r="V195" i="42"/>
  <c r="V191" i="42"/>
  <c r="V180" i="42"/>
  <c r="V192" i="42"/>
  <c r="V196" i="42"/>
  <c r="U195" i="42"/>
  <c r="U191" i="42"/>
  <c r="U180" i="42"/>
  <c r="U192" i="42"/>
  <c r="U196" i="42"/>
  <c r="T195" i="42"/>
  <c r="T191" i="42"/>
  <c r="T180" i="42"/>
  <c r="T192" i="42"/>
  <c r="T196" i="42"/>
  <c r="S195" i="42"/>
  <c r="S191" i="42"/>
  <c r="S180" i="42"/>
  <c r="S192" i="42"/>
  <c r="S196" i="42"/>
  <c r="R195" i="42"/>
  <c r="R191" i="42"/>
  <c r="R180" i="42"/>
  <c r="R192" i="42"/>
  <c r="R196" i="42"/>
  <c r="Q195" i="42"/>
  <c r="Q191" i="42"/>
  <c r="Q180" i="42"/>
  <c r="Q192" i="42"/>
  <c r="Q196" i="42"/>
  <c r="P195" i="42"/>
  <c r="P191" i="42"/>
  <c r="P180" i="42"/>
  <c r="P192" i="42"/>
  <c r="P196" i="42"/>
  <c r="O195" i="42"/>
  <c r="O191" i="42"/>
  <c r="O180" i="42"/>
  <c r="O192" i="42"/>
  <c r="O196" i="42"/>
  <c r="N195" i="42"/>
  <c r="N191" i="42"/>
  <c r="N180" i="42"/>
  <c r="N192" i="42"/>
  <c r="N196" i="42"/>
  <c r="M195" i="42"/>
  <c r="M191" i="42"/>
  <c r="M180" i="42"/>
  <c r="M192" i="42"/>
  <c r="M196" i="42"/>
  <c r="L195" i="42"/>
  <c r="L191" i="42"/>
  <c r="L180" i="42"/>
  <c r="L192" i="42"/>
  <c r="L196" i="42"/>
  <c r="K195" i="42"/>
  <c r="K191" i="42"/>
  <c r="K180" i="42"/>
  <c r="K192" i="42"/>
  <c r="K196" i="42"/>
  <c r="J195" i="42"/>
  <c r="J191" i="42"/>
  <c r="J180" i="42"/>
  <c r="J192" i="42"/>
  <c r="J196" i="42"/>
  <c r="I195" i="42"/>
  <c r="I191" i="42"/>
  <c r="I180" i="42"/>
  <c r="I192" i="42"/>
  <c r="I196" i="42"/>
  <c r="H180" i="42"/>
  <c r="H191" i="42"/>
  <c r="H192" i="42"/>
  <c r="H195" i="42"/>
  <c r="H196" i="42"/>
  <c r="G180" i="42"/>
  <c r="G191" i="42"/>
  <c r="G192" i="42"/>
  <c r="G195" i="42"/>
  <c r="G196" i="42"/>
  <c r="F180" i="42"/>
  <c r="F191" i="42"/>
  <c r="F192" i="42"/>
  <c r="F195" i="42"/>
  <c r="F196" i="42"/>
  <c r="E180" i="42"/>
  <c r="E191" i="42"/>
  <c r="E192" i="42"/>
  <c r="E195" i="42"/>
  <c r="E196" i="42"/>
  <c r="C106" i="47"/>
  <c r="C105" i="47"/>
  <c r="C104" i="47"/>
  <c r="C103" i="47"/>
  <c r="C102" i="47"/>
  <c r="C101" i="47"/>
  <c r="C100" i="47"/>
  <c r="C99" i="47"/>
  <c r="C98" i="47"/>
  <c r="C108" i="47"/>
  <c r="AG155" i="42"/>
  <c r="AJ169" i="42"/>
  <c r="AJ168" i="42"/>
  <c r="AJ165" i="42"/>
  <c r="AJ164" i="42"/>
  <c r="AJ163" i="42"/>
  <c r="AJ162" i="42"/>
  <c r="AJ161" i="42"/>
  <c r="AJ160" i="42"/>
  <c r="AJ159" i="42"/>
  <c r="AJ158" i="42"/>
  <c r="AJ157" i="42"/>
  <c r="AJ154" i="42"/>
  <c r="AJ153" i="42"/>
  <c r="AJ152" i="42"/>
  <c r="AJ151" i="42"/>
  <c r="AC155" i="42"/>
  <c r="AF169" i="42"/>
  <c r="AF168" i="42"/>
  <c r="AF165" i="42"/>
  <c r="AF164" i="42"/>
  <c r="AF163" i="42"/>
  <c r="AF162" i="42"/>
  <c r="AF161" i="42"/>
  <c r="AF160" i="42"/>
  <c r="AF159" i="42"/>
  <c r="AF158" i="42"/>
  <c r="AF157" i="42"/>
  <c r="AF154" i="42"/>
  <c r="AF153" i="42"/>
  <c r="AF152" i="42"/>
  <c r="AF151" i="42"/>
  <c r="Y155" i="42"/>
  <c r="AB169" i="42"/>
  <c r="AB168" i="42"/>
  <c r="AB165" i="42"/>
  <c r="AB164" i="42"/>
  <c r="AB163" i="42"/>
  <c r="AB162" i="42"/>
  <c r="AB161" i="42"/>
  <c r="AB160" i="42"/>
  <c r="AB159" i="42"/>
  <c r="AB158" i="42"/>
  <c r="AB157" i="42"/>
  <c r="AB154" i="42"/>
  <c r="AB153" i="42"/>
  <c r="AB152" i="42"/>
  <c r="AB151" i="42"/>
  <c r="U155" i="42"/>
  <c r="X169" i="42"/>
  <c r="X168" i="42"/>
  <c r="X165" i="42"/>
  <c r="X164" i="42"/>
  <c r="X163" i="42"/>
  <c r="X162" i="42"/>
  <c r="X161" i="42"/>
  <c r="X160" i="42"/>
  <c r="X159" i="42"/>
  <c r="X158" i="42"/>
  <c r="X157" i="42"/>
  <c r="X154" i="42"/>
  <c r="X153" i="42"/>
  <c r="X152" i="42"/>
  <c r="X151" i="42"/>
  <c r="Q155" i="42"/>
  <c r="T169" i="42"/>
  <c r="T168" i="42"/>
  <c r="T165" i="42"/>
  <c r="T164" i="42"/>
  <c r="T163" i="42"/>
  <c r="T162" i="42"/>
  <c r="T161" i="42"/>
  <c r="T160" i="42"/>
  <c r="T159" i="42"/>
  <c r="T158" i="42"/>
  <c r="T157" i="42"/>
  <c r="T154" i="42"/>
  <c r="T153" i="42"/>
  <c r="T152" i="42"/>
  <c r="T151" i="42"/>
  <c r="M155" i="42"/>
  <c r="P169" i="42"/>
  <c r="P168" i="42"/>
  <c r="P165" i="42"/>
  <c r="P164" i="42"/>
  <c r="P163" i="42"/>
  <c r="P162" i="42"/>
  <c r="P161" i="42"/>
  <c r="P160" i="42"/>
  <c r="P159" i="42"/>
  <c r="P158" i="42"/>
  <c r="P157" i="42"/>
  <c r="P154" i="42"/>
  <c r="P153" i="42"/>
  <c r="P152" i="42"/>
  <c r="P151" i="42"/>
  <c r="I155" i="42"/>
  <c r="L169" i="42"/>
  <c r="L168" i="42"/>
  <c r="L165" i="42"/>
  <c r="L164" i="42"/>
  <c r="L163" i="42"/>
  <c r="L162" i="42"/>
  <c r="L161" i="42"/>
  <c r="L160" i="42"/>
  <c r="L159" i="42"/>
  <c r="L158" i="42"/>
  <c r="L157" i="42"/>
  <c r="L154" i="42"/>
  <c r="L153" i="42"/>
  <c r="L152" i="42"/>
  <c r="L151" i="42"/>
  <c r="L155" i="42"/>
  <c r="L166" i="42"/>
  <c r="L167" i="42"/>
  <c r="L170" i="42"/>
  <c r="L171" i="42"/>
  <c r="P155" i="42"/>
  <c r="P166" i="42"/>
  <c r="P167" i="42"/>
  <c r="P170" i="42"/>
  <c r="P171" i="42"/>
  <c r="T155" i="42"/>
  <c r="T166" i="42"/>
  <c r="T167" i="42"/>
  <c r="T170" i="42"/>
  <c r="T171" i="42"/>
  <c r="X155" i="42"/>
  <c r="X166" i="42"/>
  <c r="X167" i="42"/>
  <c r="X170" i="42"/>
  <c r="X171" i="42"/>
  <c r="AB155" i="42"/>
  <c r="AB166" i="42"/>
  <c r="AB167" i="42"/>
  <c r="AB170" i="42"/>
  <c r="AB171" i="42"/>
  <c r="AF155" i="42"/>
  <c r="AF166" i="42"/>
  <c r="AF167" i="42"/>
  <c r="AF170" i="42"/>
  <c r="AF171" i="42"/>
  <c r="AJ155" i="42"/>
  <c r="AJ166" i="42"/>
  <c r="AJ167" i="42"/>
  <c r="AJ170" i="42"/>
  <c r="AJ171" i="42"/>
  <c r="E155" i="42"/>
  <c r="H169" i="42"/>
  <c r="H168" i="42"/>
  <c r="H165" i="42"/>
  <c r="H164" i="42"/>
  <c r="H163" i="42"/>
  <c r="H162" i="42"/>
  <c r="H161" i="42"/>
  <c r="H160" i="42"/>
  <c r="H159" i="42"/>
  <c r="H158" i="42"/>
  <c r="H157" i="42"/>
  <c r="H154" i="42"/>
  <c r="H153" i="42"/>
  <c r="H152" i="42"/>
  <c r="H151" i="42"/>
  <c r="AI155" i="42"/>
  <c r="AI166" i="42"/>
  <c r="AI167" i="42"/>
  <c r="AI171" i="42"/>
  <c r="AH170" i="42"/>
  <c r="AH155" i="42"/>
  <c r="AH166" i="42"/>
  <c r="AH167" i="42"/>
  <c r="AH171" i="42"/>
  <c r="AG166" i="42"/>
  <c r="AG167" i="42"/>
  <c r="AG171" i="42"/>
  <c r="AE155" i="42"/>
  <c r="AE166" i="42"/>
  <c r="AE167" i="42"/>
  <c r="AE171" i="42"/>
  <c r="AD170" i="42"/>
  <c r="AD155" i="42"/>
  <c r="AD166" i="42"/>
  <c r="AD167" i="42"/>
  <c r="AD171" i="42"/>
  <c r="AC166" i="42"/>
  <c r="AC167" i="42"/>
  <c r="AC171" i="42"/>
  <c r="AA155" i="42"/>
  <c r="AA166" i="42"/>
  <c r="AA167" i="42"/>
  <c r="AA171" i="42"/>
  <c r="Z170" i="42"/>
  <c r="Z155" i="42"/>
  <c r="Z166" i="42"/>
  <c r="Z167" i="42"/>
  <c r="Z171" i="42"/>
  <c r="Y166" i="42"/>
  <c r="Y167" i="42"/>
  <c r="Y171" i="42"/>
  <c r="W155" i="42"/>
  <c r="W166" i="42"/>
  <c r="W167" i="42"/>
  <c r="W171" i="42"/>
  <c r="V170" i="42"/>
  <c r="V155" i="42"/>
  <c r="V166" i="42"/>
  <c r="V167" i="42"/>
  <c r="V171" i="42"/>
  <c r="U166" i="42"/>
  <c r="U167" i="42"/>
  <c r="U171" i="42"/>
  <c r="S155" i="42"/>
  <c r="S166" i="42"/>
  <c r="S167" i="42"/>
  <c r="S171" i="42"/>
  <c r="R170" i="42"/>
  <c r="R155" i="42"/>
  <c r="R166" i="42"/>
  <c r="R167" i="42"/>
  <c r="R171" i="42"/>
  <c r="Q166" i="42"/>
  <c r="Q167" i="42"/>
  <c r="Q171" i="42"/>
  <c r="O155" i="42"/>
  <c r="O166" i="42"/>
  <c r="O167" i="42"/>
  <c r="O171" i="42"/>
  <c r="N170" i="42"/>
  <c r="N155" i="42"/>
  <c r="N166" i="42"/>
  <c r="N167" i="42"/>
  <c r="N171" i="42"/>
  <c r="M166" i="42"/>
  <c r="M167" i="42"/>
  <c r="M171" i="42"/>
  <c r="K155" i="42"/>
  <c r="K166" i="42"/>
  <c r="K167" i="42"/>
  <c r="K171" i="42"/>
  <c r="J170" i="42"/>
  <c r="J155" i="42"/>
  <c r="J166" i="42"/>
  <c r="J167" i="42"/>
  <c r="J171" i="42"/>
  <c r="I166" i="42"/>
  <c r="I167" i="42"/>
  <c r="I171" i="42"/>
  <c r="H155" i="42"/>
  <c r="H166" i="42"/>
  <c r="H167" i="42"/>
  <c r="H170" i="42"/>
  <c r="H171" i="42"/>
  <c r="G155" i="42"/>
  <c r="G166" i="42"/>
  <c r="G167" i="42"/>
  <c r="G171" i="42"/>
  <c r="F155" i="42"/>
  <c r="F166" i="42"/>
  <c r="F167" i="42"/>
  <c r="F170" i="42"/>
  <c r="F171" i="42"/>
  <c r="AG11" i="52"/>
  <c r="AG14" i="52"/>
  <c r="AG32" i="52"/>
  <c r="AG35" i="52"/>
  <c r="AG40" i="52"/>
  <c r="AG41" i="52"/>
  <c r="AG48" i="52"/>
  <c r="AF11" i="52"/>
  <c r="AF14" i="52"/>
  <c r="AF32" i="52"/>
  <c r="AF35" i="52"/>
  <c r="AF40" i="52"/>
  <c r="AF41" i="52"/>
  <c r="AF48" i="52"/>
  <c r="AE11" i="52"/>
  <c r="AE14" i="52"/>
  <c r="AE32" i="52"/>
  <c r="AE35" i="52"/>
  <c r="AE40" i="52"/>
  <c r="AE41" i="52"/>
  <c r="AE48" i="52"/>
  <c r="AD11" i="52"/>
  <c r="AD14" i="52"/>
  <c r="AD32" i="52"/>
  <c r="AD35" i="52"/>
  <c r="AD40" i="52"/>
  <c r="AD41" i="52"/>
  <c r="AD48" i="52"/>
  <c r="AC11" i="52"/>
  <c r="AC14" i="52"/>
  <c r="AC32" i="52"/>
  <c r="AC35" i="52"/>
  <c r="AC40" i="52"/>
  <c r="AC41" i="52"/>
  <c r="AC48" i="52"/>
  <c r="AB11" i="52"/>
  <c r="AB14" i="52"/>
  <c r="AB32" i="52"/>
  <c r="AB35" i="52"/>
  <c r="AB40" i="52"/>
  <c r="AB41" i="52"/>
  <c r="AB48" i="52"/>
  <c r="AA11" i="52"/>
  <c r="AA14" i="52"/>
  <c r="AA32" i="52"/>
  <c r="AA35" i="52"/>
  <c r="AA40" i="52"/>
  <c r="AA41" i="52"/>
  <c r="AA48" i="52"/>
  <c r="Z11" i="52"/>
  <c r="Z14" i="52"/>
  <c r="Z32" i="52"/>
  <c r="Z35" i="52"/>
  <c r="Z40" i="52"/>
  <c r="Z41" i="52"/>
  <c r="Z48" i="52"/>
  <c r="Y11" i="52"/>
  <c r="Y14" i="52"/>
  <c r="Y32" i="52"/>
  <c r="Y35" i="52"/>
  <c r="Y40" i="52"/>
  <c r="Y41" i="52"/>
  <c r="Y48" i="52"/>
  <c r="X11" i="52"/>
  <c r="X14" i="52"/>
  <c r="X32" i="52"/>
  <c r="X35" i="52"/>
  <c r="X40" i="52"/>
  <c r="X41" i="52"/>
  <c r="X48" i="52"/>
  <c r="W11" i="52"/>
  <c r="W14" i="52"/>
  <c r="W32" i="52"/>
  <c r="W35" i="52"/>
  <c r="W40" i="52"/>
  <c r="W41" i="52"/>
  <c r="W48" i="52"/>
  <c r="V11" i="52"/>
  <c r="V14" i="52"/>
  <c r="V32" i="52"/>
  <c r="V35" i="52"/>
  <c r="V40" i="52"/>
  <c r="V41" i="52"/>
  <c r="V48" i="52"/>
  <c r="U11" i="52"/>
  <c r="U14" i="52"/>
  <c r="U32" i="52"/>
  <c r="U35" i="52"/>
  <c r="U40" i="52"/>
  <c r="U41" i="52"/>
  <c r="U48" i="52"/>
  <c r="T11" i="52"/>
  <c r="T14" i="52"/>
  <c r="T32" i="52"/>
  <c r="T35" i="52"/>
  <c r="T40" i="52"/>
  <c r="T41" i="52"/>
  <c r="T48" i="52"/>
  <c r="S11" i="52"/>
  <c r="S14" i="52"/>
  <c r="S32" i="52"/>
  <c r="S35" i="52"/>
  <c r="S40" i="52"/>
  <c r="S41" i="52"/>
  <c r="S48" i="52"/>
  <c r="R11" i="52"/>
  <c r="R14" i="52"/>
  <c r="R32" i="52"/>
  <c r="R35" i="52"/>
  <c r="R40" i="52"/>
  <c r="R41" i="52"/>
  <c r="R48" i="52"/>
  <c r="Q11" i="52"/>
  <c r="Q14" i="52"/>
  <c r="Q32" i="52"/>
  <c r="Q35" i="52"/>
  <c r="Q40" i="52"/>
  <c r="Q41" i="52"/>
  <c r="Q48" i="52"/>
  <c r="P11" i="52"/>
  <c r="P14" i="52"/>
  <c r="P32" i="52"/>
  <c r="P35" i="52"/>
  <c r="P40" i="52"/>
  <c r="P41" i="52"/>
  <c r="P48" i="52"/>
  <c r="O11" i="52"/>
  <c r="O14" i="52"/>
  <c r="O32" i="52"/>
  <c r="O35" i="52"/>
  <c r="O40" i="52"/>
  <c r="O41" i="52"/>
  <c r="O48" i="52"/>
  <c r="N11" i="52"/>
  <c r="N14" i="52"/>
  <c r="N32" i="52"/>
  <c r="N35" i="52"/>
  <c r="N40" i="52"/>
  <c r="N41" i="52"/>
  <c r="N48" i="52"/>
  <c r="M11" i="52"/>
  <c r="M14" i="52"/>
  <c r="M32" i="52"/>
  <c r="M35" i="52"/>
  <c r="M40" i="52"/>
  <c r="M41" i="52"/>
  <c r="M48" i="52"/>
  <c r="L11" i="52"/>
  <c r="L14" i="52"/>
  <c r="L32" i="52"/>
  <c r="L35" i="52"/>
  <c r="L40" i="52"/>
  <c r="L41" i="52"/>
  <c r="L48" i="52"/>
  <c r="K11" i="52"/>
  <c r="K14" i="52"/>
  <c r="K32" i="52"/>
  <c r="K35" i="52"/>
  <c r="K40" i="52"/>
  <c r="K41" i="52"/>
  <c r="K48" i="52"/>
  <c r="J11" i="52"/>
  <c r="J14" i="52"/>
  <c r="J32" i="52"/>
  <c r="J35" i="52"/>
  <c r="J40" i="52"/>
  <c r="J41" i="52"/>
  <c r="J48" i="52"/>
  <c r="I11" i="52"/>
  <c r="I14" i="52"/>
  <c r="I32" i="52"/>
  <c r="I35" i="52"/>
  <c r="I40" i="52"/>
  <c r="I41" i="52"/>
  <c r="I48" i="52"/>
  <c r="H11" i="52"/>
  <c r="H14" i="52"/>
  <c r="H32" i="52"/>
  <c r="H35" i="52"/>
  <c r="H40" i="52"/>
  <c r="H41" i="52"/>
  <c r="H48" i="52"/>
  <c r="G11" i="52"/>
  <c r="G14" i="52"/>
  <c r="G32" i="52"/>
  <c r="G35" i="52"/>
  <c r="G40" i="52"/>
  <c r="G41" i="52"/>
  <c r="G48" i="52"/>
  <c r="F11" i="52"/>
  <c r="F14" i="52"/>
  <c r="F32" i="52"/>
  <c r="F35" i="52"/>
  <c r="F40" i="52"/>
  <c r="F41" i="52"/>
  <c r="F48" i="52"/>
  <c r="E11" i="52"/>
  <c r="E14" i="52"/>
  <c r="E32" i="52"/>
  <c r="E35" i="52"/>
  <c r="E40" i="52"/>
  <c r="E41" i="52"/>
  <c r="E48" i="52"/>
  <c r="D11" i="52"/>
  <c r="D14" i="52"/>
  <c r="D32" i="52"/>
  <c r="D35" i="52"/>
  <c r="D40" i="52"/>
  <c r="D41" i="52"/>
  <c r="D48" i="52"/>
  <c r="C11" i="52"/>
  <c r="C14" i="52"/>
  <c r="C32" i="52"/>
  <c r="C35" i="52"/>
  <c r="C40" i="52"/>
  <c r="C41" i="52"/>
  <c r="C48" i="52"/>
  <c r="B11" i="52"/>
  <c r="B14" i="52"/>
  <c r="B32" i="52"/>
  <c r="B35" i="52"/>
  <c r="B40" i="52"/>
  <c r="B41" i="52"/>
  <c r="B48" i="52"/>
  <c r="R202" i="47"/>
  <c r="Q202" i="47"/>
  <c r="P202" i="47"/>
  <c r="O202" i="47"/>
  <c r="N202" i="47"/>
  <c r="M202" i="47"/>
  <c r="J202" i="47"/>
  <c r="I202" i="47"/>
  <c r="H202" i="47"/>
  <c r="G202" i="47"/>
  <c r="F202" i="47"/>
  <c r="E202" i="47"/>
  <c r="D202" i="47"/>
  <c r="C202" i="47"/>
  <c r="R207" i="47"/>
  <c r="R209" i="47"/>
  <c r="Q207" i="47"/>
  <c r="Q209" i="47"/>
  <c r="P207" i="47"/>
  <c r="P209" i="47"/>
  <c r="O207" i="47"/>
  <c r="O209" i="47"/>
  <c r="N207" i="47"/>
  <c r="N209" i="47"/>
  <c r="M207" i="47"/>
  <c r="M209" i="47"/>
  <c r="J207" i="47"/>
  <c r="J209" i="47"/>
  <c r="I207" i="47"/>
  <c r="I209" i="47"/>
  <c r="H207" i="47"/>
  <c r="H209" i="47"/>
  <c r="G207" i="47"/>
  <c r="G209" i="47"/>
  <c r="F207" i="47"/>
  <c r="F209" i="47"/>
  <c r="E207" i="47"/>
  <c r="E209" i="47"/>
  <c r="D207" i="47"/>
  <c r="D209" i="47"/>
  <c r="C207" i="47"/>
  <c r="C209" i="47"/>
  <c r="F130" i="33"/>
  <c r="F131" i="33"/>
  <c r="F132" i="33"/>
  <c r="F133" i="33"/>
  <c r="F134" i="33"/>
  <c r="F135" i="33"/>
  <c r="F136" i="33"/>
  <c r="F137" i="33"/>
  <c r="F138" i="33"/>
  <c r="F139" i="33"/>
  <c r="F123" i="33"/>
  <c r="F124" i="33"/>
  <c r="F125" i="33"/>
  <c r="F126" i="33"/>
  <c r="F145" i="33"/>
  <c r="F143" i="33"/>
  <c r="E166" i="42"/>
  <c r="E167" i="42"/>
  <c r="E171" i="42"/>
  <c r="E183" i="33"/>
  <c r="D126" i="33"/>
  <c r="D139" i="33"/>
  <c r="D141" i="33"/>
  <c r="E185" i="33"/>
  <c r="B25" i="46"/>
  <c r="C25" i="46"/>
  <c r="D25" i="46"/>
  <c r="E25" i="46"/>
  <c r="F25" i="46"/>
  <c r="G25" i="46"/>
  <c r="H25" i="46"/>
  <c r="I25" i="46"/>
  <c r="J25" i="46"/>
  <c r="K25" i="46"/>
  <c r="B26" i="46"/>
  <c r="C26" i="46"/>
  <c r="D26" i="46"/>
  <c r="E26" i="46"/>
  <c r="F26" i="46"/>
  <c r="G26" i="46"/>
  <c r="H26" i="46"/>
  <c r="I26" i="46"/>
  <c r="J26" i="46"/>
  <c r="K26" i="46"/>
  <c r="J7" i="46"/>
  <c r="J18" i="46"/>
  <c r="J19" i="46"/>
  <c r="J21" i="46"/>
  <c r="I7" i="46"/>
  <c r="I18" i="46"/>
  <c r="I19" i="46"/>
  <c r="I21" i="46"/>
  <c r="H7" i="46"/>
  <c r="H18" i="46"/>
  <c r="H19" i="46"/>
  <c r="H21" i="46"/>
  <c r="G7" i="46"/>
  <c r="G18" i="46"/>
  <c r="G19" i="46"/>
  <c r="G21" i="46"/>
  <c r="F7" i="46"/>
  <c r="F18" i="46"/>
  <c r="F19" i="46"/>
  <c r="F21" i="46"/>
  <c r="E7" i="46"/>
  <c r="E18" i="46"/>
  <c r="E19" i="46"/>
  <c r="E21" i="46"/>
  <c r="D7" i="46"/>
  <c r="D18" i="46"/>
  <c r="D19" i="46"/>
  <c r="D21" i="46"/>
  <c r="C7" i="46"/>
  <c r="C18" i="46"/>
  <c r="C19" i="46"/>
  <c r="C21" i="46"/>
  <c r="L124" i="33"/>
  <c r="M124" i="33"/>
  <c r="L126" i="33"/>
  <c r="J126" i="33"/>
  <c r="M126" i="33"/>
  <c r="E126" i="33"/>
  <c r="H138" i="33"/>
  <c r="I139" i="33"/>
  <c r="M139" i="33"/>
  <c r="M141" i="33"/>
  <c r="M148" i="33"/>
  <c r="E139" i="33"/>
  <c r="I126" i="33"/>
  <c r="F141" i="33"/>
  <c r="F148" i="33"/>
  <c r="E141" i="33"/>
  <c r="E148" i="33"/>
  <c r="H134" i="33"/>
  <c r="H135" i="33"/>
  <c r="H133" i="33"/>
  <c r="H124" i="33"/>
  <c r="H132" i="33"/>
  <c r="H136" i="33"/>
  <c r="H143" i="33"/>
  <c r="H137" i="33"/>
  <c r="H131" i="33"/>
  <c r="H123" i="33"/>
  <c r="H125" i="33"/>
  <c r="H126" i="33"/>
  <c r="J139" i="33"/>
  <c r="J141" i="33"/>
  <c r="J148" i="33"/>
  <c r="H130" i="33"/>
  <c r="H145" i="33"/>
  <c r="D148" i="33"/>
  <c r="L139" i="33"/>
  <c r="L141" i="33"/>
  <c r="L148" i="33"/>
  <c r="I141" i="33"/>
  <c r="I148" i="33"/>
  <c r="H139" i="33"/>
  <c r="H141" i="33"/>
  <c r="H148" i="33"/>
</calcChain>
</file>

<file path=xl/sharedStrings.xml><?xml version="1.0" encoding="utf-8"?>
<sst xmlns="http://schemas.openxmlformats.org/spreadsheetml/2006/main" count="1078" uniqueCount="457">
  <si>
    <t>Other Income</t>
  </si>
  <si>
    <t>Utilities</t>
  </si>
  <si>
    <t>Advertising &amp; Promotion</t>
  </si>
  <si>
    <t>Management Fees</t>
  </si>
  <si>
    <t>Real Estate Taxes</t>
  </si>
  <si>
    <t>Office Expenses</t>
  </si>
  <si>
    <t xml:space="preserve">Insurance </t>
  </si>
  <si>
    <t>Payroll</t>
  </si>
  <si>
    <t>Other Expenses</t>
  </si>
  <si>
    <t>CASH DASHBOARD</t>
  </si>
  <si>
    <t>RENTAL DASHBOARD</t>
  </si>
  <si>
    <t>GMR</t>
  </si>
  <si>
    <t>GPR</t>
  </si>
  <si>
    <t>Total Rental Income-Residential</t>
  </si>
  <si>
    <t>Rental Income-Residential</t>
  </si>
  <si>
    <t>FINANCIAL DASHBOARD</t>
  </si>
  <si>
    <t>EXPENSE SUMMARY JULY 2017</t>
  </si>
  <si>
    <t>KEY RENTAL FACTORS</t>
  </si>
  <si>
    <t xml:space="preserve">R&amp;M related </t>
  </si>
  <si>
    <t>Period = Jan 2017</t>
  </si>
  <si>
    <t>Period = Feb 2017</t>
  </si>
  <si>
    <t>Period = Mar 2017</t>
  </si>
  <si>
    <t>Period = Apr 2017</t>
  </si>
  <si>
    <t>Period = May 2017</t>
  </si>
  <si>
    <t>Period = Jun 2017</t>
  </si>
  <si>
    <t>Period = Jul 2017</t>
  </si>
  <si>
    <t>Period = Aug 2017</t>
  </si>
  <si>
    <t>Particular</t>
  </si>
  <si>
    <t>Other Rental Income</t>
  </si>
  <si>
    <t xml:space="preserve">    TOTAL RENTAL INCOME</t>
  </si>
  <si>
    <t xml:space="preserve">    TOTAL INCOME</t>
  </si>
  <si>
    <t xml:space="preserve">    TOTAL OPERATING EXPENSES</t>
  </si>
  <si>
    <t xml:space="preserve">    NET OPERATING INCOME</t>
  </si>
  <si>
    <t xml:space="preserve">    TOTAL NON-OPTG. EXPENSES</t>
  </si>
  <si>
    <t xml:space="preserve">    NET INCOME</t>
  </si>
  <si>
    <t>Book = Accrual</t>
  </si>
  <si>
    <t xml:space="preserve">            Total Rental Income-Residential</t>
  </si>
  <si>
    <t xml:space="preserve">            Total Other Rental Income</t>
  </si>
  <si>
    <t xml:space="preserve">            Total Expense Reimbursement</t>
  </si>
  <si>
    <t xml:space="preserve">            Total Other Income</t>
  </si>
  <si>
    <t xml:space="preserve">        Total Routine Replacements</t>
  </si>
  <si>
    <t xml:space="preserve">            Total Ownership Exp.</t>
  </si>
  <si>
    <t xml:space="preserve">            Total Federal, State, Local Tax &amp; Exp.</t>
  </si>
  <si>
    <t xml:space="preserve">            Total Interest Expense</t>
  </si>
  <si>
    <t>JAN</t>
  </si>
  <si>
    <t>FEB</t>
  </si>
  <si>
    <t>MAR</t>
  </si>
  <si>
    <t>APR</t>
  </si>
  <si>
    <t>MAY</t>
  </si>
  <si>
    <t>JUN</t>
  </si>
  <si>
    <t>JUL</t>
  </si>
  <si>
    <t>AUG</t>
  </si>
  <si>
    <t>ALL</t>
  </si>
  <si>
    <t>PERCENTAGE</t>
  </si>
  <si>
    <t>Expenses</t>
  </si>
  <si>
    <t>Expenses Breakdown</t>
  </si>
  <si>
    <t>Expenses Till Aug</t>
  </si>
  <si>
    <t>Aug, 2021</t>
  </si>
  <si>
    <t>Assets</t>
  </si>
  <si>
    <t xml:space="preserve">  Current Assets</t>
  </si>
  <si>
    <t xml:space="preserve">    Unrestricted Cash</t>
  </si>
  <si>
    <t xml:space="preserve">        Operating Cash</t>
  </si>
  <si>
    <t xml:space="preserve">        Operating (LFH Acct)</t>
  </si>
  <si>
    <t xml:space="preserve">    Escrows/Reserves</t>
  </si>
  <si>
    <t xml:space="preserve">        Prop. Tax Escrow</t>
  </si>
  <si>
    <t xml:space="preserve">        Insurance Reserve</t>
  </si>
  <si>
    <t xml:space="preserve">        Replacement Reserve</t>
  </si>
  <si>
    <t xml:space="preserve">    Accounts Receivable</t>
  </si>
  <si>
    <t xml:space="preserve">        Acct Rec-Residents</t>
  </si>
  <si>
    <t xml:space="preserve">        Acct Rec-Utility Deposit</t>
  </si>
  <si>
    <t xml:space="preserve">        Acct Rec-Construction Deposit</t>
  </si>
  <si>
    <t xml:space="preserve">        Acct Rec - Other</t>
  </si>
  <si>
    <t xml:space="preserve">    Prepaid Expenses</t>
  </si>
  <si>
    <t xml:space="preserve">        Prepaid Insurance</t>
  </si>
  <si>
    <t xml:space="preserve">        Prepaid Expense</t>
  </si>
  <si>
    <t xml:space="preserve">  Total Current Assets</t>
  </si>
  <si>
    <t xml:space="preserve">  Other Assets</t>
  </si>
  <si>
    <t xml:space="preserve">    Inter-Company, Due (To)/Due From</t>
  </si>
  <si>
    <t xml:space="preserve">        Interco-Due To/From Affiliate DO NOT USE 1903</t>
  </si>
  <si>
    <t xml:space="preserve">        Interco-Due To/From Affiliate</t>
  </si>
  <si>
    <t xml:space="preserve">  Total Other Assets</t>
  </si>
  <si>
    <t xml:space="preserve">  Real Estate Held For Investment</t>
  </si>
  <si>
    <t xml:space="preserve">    Land &amp; Land Improvemetns</t>
  </si>
  <si>
    <t xml:space="preserve">        Land</t>
  </si>
  <si>
    <t xml:space="preserve">    Land &amp; Land Improvements</t>
  </si>
  <si>
    <t xml:space="preserve">    Buildings</t>
  </si>
  <si>
    <t xml:space="preserve">        Buildings</t>
  </si>
  <si>
    <t xml:space="preserve">    Building Improvements</t>
  </si>
  <si>
    <t xml:space="preserve">        Building Improv-Irrig/Sprinklers</t>
  </si>
  <si>
    <t xml:space="preserve">        Building Improv-Doors/Windows/Hardware</t>
  </si>
  <si>
    <t xml:space="preserve">        Building Improv-Fire Protection/Sprinklers</t>
  </si>
  <si>
    <t xml:space="preserve">        Building Improv-Garage/Carports</t>
  </si>
  <si>
    <t xml:space="preserve">        Building Improv-HVAC</t>
  </si>
  <si>
    <t xml:space="preserve">    Accumulative Amort/Depr</t>
  </si>
  <si>
    <t xml:space="preserve">        Accum Depr-Realty Depreciation</t>
  </si>
  <si>
    <t xml:space="preserve">        Accum Amort-Loan Costs</t>
  </si>
  <si>
    <t xml:space="preserve">  Total Real Estate Held For Investment</t>
  </si>
  <si>
    <t xml:space="preserve">  Intangible Assets</t>
  </si>
  <si>
    <t xml:space="preserve">    Acquisition Other Costs</t>
  </si>
  <si>
    <t xml:space="preserve">        Lease Commissions</t>
  </si>
  <si>
    <t xml:space="preserve">    Loan Financing Costs</t>
  </si>
  <si>
    <t xml:space="preserve">        Loan Acqusition Costs</t>
  </si>
  <si>
    <t xml:space="preserve">  Total Intangible Assets</t>
  </si>
  <si>
    <t>Total Assets</t>
  </si>
  <si>
    <t>Liabilities &amp; Owner Equity</t>
  </si>
  <si>
    <t xml:space="preserve">  Liabilities</t>
  </si>
  <si>
    <t xml:space="preserve">    Accounts Payable</t>
  </si>
  <si>
    <t xml:space="preserve">        Accounts Payable</t>
  </si>
  <si>
    <t xml:space="preserve">    Notes Payable</t>
  </si>
  <si>
    <t xml:space="preserve">        Note 1 Principal</t>
  </si>
  <si>
    <t xml:space="preserve">    Other Liabilities</t>
  </si>
  <si>
    <t xml:space="preserve">        Prepaid Rent</t>
  </si>
  <si>
    <t xml:space="preserve">    Accrued Expenses</t>
  </si>
  <si>
    <t xml:space="preserve">        Accrued Operating Expenses</t>
  </si>
  <si>
    <t xml:space="preserve">        Accrued Salaries &amp; Related</t>
  </si>
  <si>
    <t xml:space="preserve">    Security Deposits</t>
  </si>
  <si>
    <t xml:space="preserve">        Tenant Deposits</t>
  </si>
  <si>
    <t xml:space="preserve">        Key Deposit</t>
  </si>
  <si>
    <t xml:space="preserve">        Pet Deposit</t>
  </si>
  <si>
    <t xml:space="preserve">        Clearing-Security Deposit Refund</t>
  </si>
  <si>
    <t xml:space="preserve">    Other Payables</t>
  </si>
  <si>
    <t xml:space="preserve">        Real Estate Taxes Payable</t>
  </si>
  <si>
    <t xml:space="preserve">        Mortgage Interest Payable</t>
  </si>
  <si>
    <t xml:space="preserve">  Total Liabilities</t>
  </si>
  <si>
    <t xml:space="preserve">  Owner Equity</t>
  </si>
  <si>
    <t xml:space="preserve">    Owner Capital</t>
  </si>
  <si>
    <t xml:space="preserve">    Owner Draw</t>
  </si>
  <si>
    <t xml:space="preserve">    Retained Earnings</t>
  </si>
  <si>
    <t xml:space="preserve">        Current Year P&amp;L</t>
  </si>
  <si>
    <t xml:space="preserve">        Prior Years Retained Earnings</t>
  </si>
  <si>
    <t xml:space="preserve">  Total Owner Equity</t>
  </si>
  <si>
    <t>Total Liabilites &amp; Owner Equity</t>
  </si>
  <si>
    <t>Income</t>
  </si>
  <si>
    <t>SECTION BREAKER SHEET.  INTENTIONALLY LEFT BLANK. THE SHEETS AFTER THIS BREAKER SHEET ONLY HAS INPUT DATA USED FOR CHARTS</t>
  </si>
  <si>
    <t>NET INCOME</t>
  </si>
  <si>
    <t>TOTAL INCOME</t>
  </si>
  <si>
    <t>TOTAL OPERATING EXPENSES</t>
  </si>
  <si>
    <t>Balance Sheet (With Period Change)</t>
  </si>
  <si>
    <t>Balance</t>
  </si>
  <si>
    <t>Net</t>
  </si>
  <si>
    <t>Current Period</t>
  </si>
  <si>
    <t>Change</t>
  </si>
  <si>
    <t xml:space="preserve">        Clearing - Holding Deposit</t>
  </si>
  <si>
    <t>DEBT DASHBOARD</t>
  </si>
  <si>
    <t>RENTAL INCOME-RESIDENTIAL</t>
  </si>
  <si>
    <t>OTHER RENTAL INCOME</t>
  </si>
  <si>
    <t>INCOME</t>
  </si>
  <si>
    <t>EXPENSES</t>
  </si>
  <si>
    <t>NET OPERATING INCOME</t>
  </si>
  <si>
    <t>TOTAL NON-OPTG. EXPENSES</t>
  </si>
  <si>
    <t xml:space="preserve">EXECUTIVE SUMMARY  </t>
  </si>
  <si>
    <t xml:space="preserve">Actual </t>
  </si>
  <si>
    <t>Budget</t>
  </si>
  <si>
    <t>Jan</t>
  </si>
  <si>
    <t>Feb</t>
  </si>
  <si>
    <t>Mar</t>
  </si>
  <si>
    <t>Apr</t>
  </si>
  <si>
    <t>May</t>
  </si>
  <si>
    <t>Jun</t>
  </si>
  <si>
    <t>Jul</t>
  </si>
  <si>
    <t>Aug</t>
  </si>
  <si>
    <t xml:space="preserve"> YTD Actual</t>
  </si>
  <si>
    <t xml:space="preserve"> PTD Actual</t>
  </si>
  <si>
    <t xml:space="preserve"> PTD Budget</t>
  </si>
  <si>
    <t xml:space="preserve">            Total Rental Income-Commercial</t>
  </si>
  <si>
    <t>Total Rental Income-Commercial</t>
  </si>
  <si>
    <t>Total Other Rental Income</t>
  </si>
  <si>
    <t>Total Other Income</t>
  </si>
  <si>
    <t>Budget Comparison</t>
  </si>
  <si>
    <t>PTD</t>
  </si>
  <si>
    <t>YTD</t>
  </si>
  <si>
    <t>Actual</t>
  </si>
  <si>
    <t>Expense</t>
  </si>
  <si>
    <t xml:space="preserve">             Interior Bldg R&amp;M</t>
  </si>
  <si>
    <t xml:space="preserve">             Apt. Turn Cost</t>
  </si>
  <si>
    <t xml:space="preserve">             Other Repairs &amp; Maint</t>
  </si>
  <si>
    <t xml:space="preserve">             Exterior Bldg Maintenance</t>
  </si>
  <si>
    <t xml:space="preserve">             Grounds Maintenance</t>
  </si>
  <si>
    <t xml:space="preserve">             Parking Lot/Garage</t>
  </si>
  <si>
    <t xml:space="preserve">             Utilities</t>
  </si>
  <si>
    <t xml:space="preserve">             Advertising &amp; Promotion</t>
  </si>
  <si>
    <t xml:space="preserve">             Life &amp; Safety</t>
  </si>
  <si>
    <t xml:space="preserve">             Management Fee Expense</t>
  </si>
  <si>
    <t xml:space="preserve">             Insurance Expense</t>
  </si>
  <si>
    <t xml:space="preserve">             Real Estate Taxes</t>
  </si>
  <si>
    <t xml:space="preserve">             Office Expenses</t>
  </si>
  <si>
    <t xml:space="preserve">             Employee/Employer Exp.</t>
  </si>
  <si>
    <t xml:space="preserve">             Professional Fees</t>
  </si>
  <si>
    <t xml:space="preserve">             Payroll Expense</t>
  </si>
  <si>
    <t>%</t>
  </si>
  <si>
    <t xml:space="preserve">        Building Improv-Fences/Gates</t>
  </si>
  <si>
    <t xml:space="preserve">    Tenant Improvements</t>
  </si>
  <si>
    <t xml:space="preserve">        Tenant Improvemets</t>
  </si>
  <si>
    <t>OPERATING CASH</t>
  </si>
  <si>
    <t xml:space="preserve">     Owner Draw</t>
  </si>
  <si>
    <t>TOTAL RENTAL INCOME</t>
  </si>
  <si>
    <t>Total Expense Reimbursement</t>
  </si>
  <si>
    <t>ACTUAL</t>
  </si>
  <si>
    <t>SQFT</t>
  </si>
  <si>
    <t>UNIT</t>
  </si>
  <si>
    <t>OPERATING ACTUAL</t>
  </si>
  <si>
    <t>OPERATING SQFT</t>
  </si>
  <si>
    <t>OPERATING UNIT</t>
  </si>
  <si>
    <t>RENTAL INCOME-COMMERCIAL</t>
  </si>
  <si>
    <t>R&amp;M RELATED</t>
  </si>
  <si>
    <t>UTILITIES</t>
  </si>
  <si>
    <t>ADVERTISING &amp; PROMOTION</t>
  </si>
  <si>
    <t>MANAGEMENT FEE EXPENSE</t>
  </si>
  <si>
    <t>INSURANCE EXPENSE</t>
  </si>
  <si>
    <t>REAL ESTATE TAXES</t>
  </si>
  <si>
    <t>OFFICE EXPENSES</t>
  </si>
  <si>
    <t>OTHER EXPENSES</t>
  </si>
  <si>
    <t>PAYROLL EXPENSE</t>
  </si>
  <si>
    <t xml:space="preserve">MANAGEMENT FEE </t>
  </si>
  <si>
    <t xml:space="preserve">PAYROLL </t>
  </si>
  <si>
    <t xml:space="preserve">INTEREST </t>
  </si>
  <si>
    <t>DATA IN SQFT AND UNIT BASIS</t>
  </si>
  <si>
    <t>ACTUAL TO BUDGET COMPARISON TABLE</t>
  </si>
  <si>
    <t>YTD SQFT</t>
  </si>
  <si>
    <t>YTD UNIT</t>
  </si>
  <si>
    <t>INTEREST</t>
  </si>
  <si>
    <t xml:space="preserve"> TOTAL OPERATING EXPENSES</t>
  </si>
  <si>
    <t xml:space="preserve"> NET OPERATING INCOME</t>
  </si>
  <si>
    <t xml:space="preserve">INCOME </t>
  </si>
  <si>
    <t>OWNER CAPITAL</t>
  </si>
  <si>
    <t>OWNER DRAW</t>
  </si>
  <si>
    <t>MONTH</t>
  </si>
  <si>
    <t>2.There were no major capital expenditures incurred in July.</t>
  </si>
  <si>
    <t>EXPENSE</t>
  </si>
  <si>
    <t>SQFT BASIS</t>
  </si>
  <si>
    <t>UNIT BASIS</t>
  </si>
  <si>
    <t>KEY EXPENSE CHART :</t>
  </si>
  <si>
    <t>YTD RENTAL INCOME-COMMERCIAL</t>
  </si>
  <si>
    <t>YTD RENTAL INCOME-RESIDENTIAL</t>
  </si>
  <si>
    <t>YTD OTHER RENTAL INCOME</t>
  </si>
  <si>
    <t>YTD TOTAL INCOME</t>
  </si>
  <si>
    <t>YTD  TOTAL OPERATING EXPENSES</t>
  </si>
  <si>
    <t>YTD  NET OPERATING INCOME</t>
  </si>
  <si>
    <t>YTD INTEREST</t>
  </si>
  <si>
    <t>YTD TOTAL NON-OPTG. EXPENSES</t>
  </si>
  <si>
    <t>YTD NET INCOME</t>
  </si>
  <si>
    <t>YTD R&amp;M RELATED</t>
  </si>
  <si>
    <t>YTD UTILITIES</t>
  </si>
  <si>
    <t>YTD ADVERTISING &amp; PROMOTION</t>
  </si>
  <si>
    <t>YTD MANAGEMENT FEE EXPENSE</t>
  </si>
  <si>
    <t>YTD INSURANCE EXPENSE</t>
  </si>
  <si>
    <t>YTD REAL ESTATE TAXES</t>
  </si>
  <si>
    <t>YTD OFFICE EXPENSES</t>
  </si>
  <si>
    <t>YTD OTHER EXPENSES</t>
  </si>
  <si>
    <t>YTD PAYROLL EXPENSE</t>
  </si>
  <si>
    <t>YTD TOTAL OPERATING EXPENSES</t>
  </si>
  <si>
    <t>YTD OPERATING CASH</t>
  </si>
  <si>
    <t xml:space="preserve">YTD INTEREST </t>
  </si>
  <si>
    <t>YTD NET OPERATING INCOME</t>
  </si>
  <si>
    <t>* Key Expenses are defined as those expenses that are atleast 2%  of the total rental income</t>
  </si>
  <si>
    <t>CASH FLOW</t>
  </si>
  <si>
    <t>ACTUAL Cash Flow</t>
  </si>
  <si>
    <t>YTD Cash Flow</t>
  </si>
  <si>
    <t>YTD CASH FLOW</t>
  </si>
  <si>
    <t>JAN                   YTD</t>
  </si>
  <si>
    <t>FEB                   YTD</t>
  </si>
  <si>
    <t>MAR                   YTD</t>
  </si>
  <si>
    <t>APR                   YTD</t>
  </si>
  <si>
    <t>MAY                   YTD</t>
  </si>
  <si>
    <t>JUN                   YTD</t>
  </si>
  <si>
    <t>JUL                   YTD</t>
  </si>
  <si>
    <t>INTEREST EXPENSE</t>
  </si>
  <si>
    <t>NET OERATING INCOME</t>
  </si>
  <si>
    <t>R&amp;M</t>
  </si>
  <si>
    <t>MANAGEMENT FEE</t>
  </si>
  <si>
    <t>PAYROLL</t>
  </si>
  <si>
    <t>TDC-1</t>
  </si>
  <si>
    <t>TDT-1</t>
  </si>
  <si>
    <t>TDC-2</t>
  </si>
  <si>
    <t>TDT-2</t>
  </si>
  <si>
    <t>TDC-3</t>
  </si>
  <si>
    <t>TDT-3</t>
  </si>
  <si>
    <t>TDT-4</t>
  </si>
  <si>
    <t>TDC-4</t>
  </si>
  <si>
    <t>TDC-5</t>
  </si>
  <si>
    <t>TDT-5</t>
  </si>
  <si>
    <t>TDT-6</t>
  </si>
  <si>
    <t>TDT-7</t>
  </si>
  <si>
    <t>`</t>
  </si>
  <si>
    <t>BALANCE SHEET</t>
  </si>
  <si>
    <t>KDC-2</t>
  </si>
  <si>
    <t>KDC-1</t>
  </si>
  <si>
    <t>KDC-3</t>
  </si>
  <si>
    <t>KDC-4</t>
  </si>
  <si>
    <t>KDC-5</t>
  </si>
  <si>
    <t>KDC-6</t>
  </si>
  <si>
    <t>KDC-7</t>
  </si>
  <si>
    <t>KDC-8</t>
  </si>
  <si>
    <t>KDC-9</t>
  </si>
  <si>
    <t>JULY</t>
  </si>
  <si>
    <t>JULY SQFT</t>
  </si>
  <si>
    <t>JULY YTD</t>
  </si>
  <si>
    <t>JULY UNIT</t>
  </si>
  <si>
    <t xml:space="preserve">JULY YTD </t>
  </si>
  <si>
    <t>JULY YTD (SQFT)</t>
  </si>
  <si>
    <t>JULY YTD (UNIT)</t>
  </si>
  <si>
    <t>BUDGET SQFT</t>
  </si>
  <si>
    <t>BUDGET UNIT</t>
  </si>
  <si>
    <t>EXPENSES :-</t>
  </si>
  <si>
    <t>JAN YTD</t>
  </si>
  <si>
    <t>JAN BUDGET</t>
  </si>
  <si>
    <t>FEB BUDGET</t>
  </si>
  <si>
    <t>FEB YTD</t>
  </si>
  <si>
    <t>MAR BUDGET</t>
  </si>
  <si>
    <t>MAR YTD</t>
  </si>
  <si>
    <t>APR BUDGET</t>
  </si>
  <si>
    <t>APR YTD</t>
  </si>
  <si>
    <t>MAY BUDGET</t>
  </si>
  <si>
    <t>MAY YTD</t>
  </si>
  <si>
    <t>JUN BUDGET</t>
  </si>
  <si>
    <t>JUN YTD</t>
  </si>
  <si>
    <t>JUL BUDGET</t>
  </si>
  <si>
    <t>JUL YTD</t>
  </si>
  <si>
    <t>AUG BUDGET</t>
  </si>
  <si>
    <t>AUG YTD</t>
  </si>
  <si>
    <t>JAN SQFT</t>
  </si>
  <si>
    <t xml:space="preserve">JAN UNIT </t>
  </si>
  <si>
    <t xml:space="preserve">JAN YTD SQFT </t>
  </si>
  <si>
    <t>JAN YTD UNIT</t>
  </si>
  <si>
    <t>FEB SQFT</t>
  </si>
  <si>
    <t xml:space="preserve">FEB UNIT </t>
  </si>
  <si>
    <t xml:space="preserve">FEB YTD SQFT </t>
  </si>
  <si>
    <t>FEB YTD UNIT</t>
  </si>
  <si>
    <t>MAR SQFT</t>
  </si>
  <si>
    <t xml:space="preserve">MAR UNIT </t>
  </si>
  <si>
    <t xml:space="preserve">MAR YTD SQFT </t>
  </si>
  <si>
    <t>MAR YTD UNIT</t>
  </si>
  <si>
    <t>APR SQFT</t>
  </si>
  <si>
    <t xml:space="preserve">APR UNIT </t>
  </si>
  <si>
    <t xml:space="preserve">APR YTD SQFT </t>
  </si>
  <si>
    <t>APR YTD UNIT</t>
  </si>
  <si>
    <t>MAY SQFT</t>
  </si>
  <si>
    <t xml:space="preserve">MAY UNIT </t>
  </si>
  <si>
    <t xml:space="preserve">MAY YTD SQFT </t>
  </si>
  <si>
    <t>MAY YTD UNIT</t>
  </si>
  <si>
    <t>JUN SQFT</t>
  </si>
  <si>
    <t xml:space="preserve">JUN UNIT </t>
  </si>
  <si>
    <t xml:space="preserve">JUN YTD SQFT </t>
  </si>
  <si>
    <t>JUN YTD UNIT</t>
  </si>
  <si>
    <t>JUL SQFT</t>
  </si>
  <si>
    <t xml:space="preserve">JUL UNIT </t>
  </si>
  <si>
    <t xml:space="preserve">JUL YTD SQFT </t>
  </si>
  <si>
    <t>JUL YTD UNIT</t>
  </si>
  <si>
    <t>AUG SQFT</t>
  </si>
  <si>
    <t xml:space="preserve">AUG UNIT </t>
  </si>
  <si>
    <t xml:space="preserve">AUG YTD SQFT </t>
  </si>
  <si>
    <t>AUG YTD UNIT</t>
  </si>
  <si>
    <t>OTHER NON OPERATIVE EXPENSE</t>
  </si>
  <si>
    <t xml:space="preserve">MORTGAGE INTEREST </t>
  </si>
  <si>
    <t>TOTAL OTHER NON OPERATING EXPENSES</t>
  </si>
  <si>
    <t xml:space="preserve"> % OF TOTAL INCOME</t>
  </si>
  <si>
    <t>DEBT  YIELD</t>
  </si>
  <si>
    <t>LOAN OUTSTANDING</t>
  </si>
  <si>
    <t>PROPERTY VALUE</t>
  </si>
  <si>
    <t>CAP FACTOR</t>
  </si>
  <si>
    <t>LTV</t>
  </si>
  <si>
    <t>JULY BUDGET</t>
  </si>
  <si>
    <t>JULY VARIANCE</t>
  </si>
  <si>
    <t>PARTICULARS</t>
  </si>
  <si>
    <t>CASH IN OPERATING ACCOUNT</t>
  </si>
  <si>
    <t>RESERVES</t>
  </si>
  <si>
    <t>REAL STATE TAX PAYABLE</t>
  </si>
  <si>
    <t xml:space="preserve">      TENANT DEPOSITS HELD</t>
  </si>
  <si>
    <t xml:space="preserve">      ACCRUED MORTGAGE INTEREST </t>
  </si>
  <si>
    <t xml:space="preserve">      OTHER ACCRUED EXP. AND PAYABLES</t>
  </si>
  <si>
    <t xml:space="preserve"> TOTAL RESERVED CASH </t>
  </si>
  <si>
    <t/>
  </si>
  <si>
    <t>CASH AVAILABLE FOR DISTRIBUTION IN JULY 2017</t>
  </si>
  <si>
    <t>DRAWINGS IN JULY 2017</t>
  </si>
  <si>
    <t>YTD DRAWINGS 2017</t>
  </si>
  <si>
    <t>LIFETIME DISTRIBUTION (DRAWINGS)</t>
  </si>
  <si>
    <t>PROPERTY NAME:</t>
  </si>
  <si>
    <t>LOAN NAME:</t>
  </si>
  <si>
    <t>LOAN MATURITY DATE</t>
  </si>
  <si>
    <t>PRINCIPAL OUTSTANDING</t>
  </si>
  <si>
    <t>INTEREST PAID JULY</t>
  </si>
  <si>
    <t>INTEREST PAID YTD</t>
  </si>
  <si>
    <t>INTEREST COVERAGE RATIO</t>
  </si>
  <si>
    <t>OPERATING CASH BALANCE - JUL 31'2017</t>
  </si>
  <si>
    <t>DEBT YIELD ANALYSIS</t>
  </si>
  <si>
    <t>LTV ANALYSIS </t>
  </si>
  <si>
    <t>RENTAL INCOME RESIDENTIAL</t>
  </si>
  <si>
    <t>GAIN/LOSS TO LEASE</t>
  </si>
  <si>
    <t>LESS : VACANCY LOSS &amp; CONCESSIONS</t>
  </si>
  <si>
    <t>GROSS COLLECTABLE RESIDENTIAL RENT</t>
  </si>
  <si>
    <t>NET COLLECTED RESIDENTIAL RENT</t>
  </si>
  <si>
    <t>PARTICULAR</t>
  </si>
  <si>
    <t>OCCUPANCY  (UNITS BASIS)-COMMERCIAL</t>
  </si>
  <si>
    <t>VACANCY  (UNITS BASIS)-COMMERCIAL</t>
  </si>
  <si>
    <t>OCCUPANCY  (UNITS BASIS)-RESIDENTIAL</t>
  </si>
  <si>
    <t>VACANCY  (UNITS BASIS)-RESIDENTIAL</t>
  </si>
  <si>
    <t>OCCUPANCY  (SQFT BASIS)-COMMERCIAL</t>
  </si>
  <si>
    <t>VACANCY  (SQFT BASIS)-COMMERCIAL</t>
  </si>
  <si>
    <t>TOTAL AREA (SQFT BASIS)-COMMERCIAL</t>
  </si>
  <si>
    <t>% RENT COLLECTED OF  COLLECTABLE RENT</t>
  </si>
  <si>
    <t>JULY %</t>
  </si>
  <si>
    <t xml:space="preserve">    OWNER CAPITAL</t>
  </si>
  <si>
    <t>KDT-2</t>
  </si>
  <si>
    <t>KDT-1</t>
  </si>
  <si>
    <t>KDT-3</t>
  </si>
  <si>
    <t>KDT-5</t>
  </si>
  <si>
    <t>KDT-4</t>
  </si>
  <si>
    <t>KDT-6</t>
  </si>
  <si>
    <t>KDT-7</t>
  </si>
  <si>
    <t>TOTAL AREA (SQFT BASIS)-RESIDENTIAL</t>
  </si>
  <si>
    <t>TOTAL UNITS (COMMERCIAL)</t>
  </si>
  <si>
    <t>TOTAL UNITS (RESIDENTIAL)</t>
  </si>
  <si>
    <t>TOTAL UNITS (RESIDENTIAL+COMMERCIAL)</t>
  </si>
  <si>
    <t>OCCUPANCY  (SQFT BASIS)-RESIDENTIAL</t>
  </si>
  <si>
    <t>VACANCY  (SQFT BASIS)-RESIDENTIAL</t>
  </si>
  <si>
    <t>TOTAL AREA (RESIDENTIAL+COMMERCIAL)</t>
  </si>
  <si>
    <t>2. The property's July residential rental income was $172,896 against a budget of $182,634.  However, the total Income of the property for July was $201,301 , significantly higher than the budgeted value of $186,436. This was driven mainly by an increase in other income.</t>
  </si>
  <si>
    <t>1.July operating expenses were $60,313 higher than budget of  $50,518</t>
  </si>
  <si>
    <t>2.This Variance was driven by higher than average advertising and promotion expenses.  These expenses were $6,129 and were not budgeted in this month.  Advertsing expenses were 3% of revenues against a YTD average of 1%.</t>
  </si>
  <si>
    <t>3. Utility expenses  were high too with actuals of $5,863 budgeted at $3,827.</t>
  </si>
  <si>
    <t>4. Office Expenses were also higher at $4,685  due to expenses on Licenses and Permits, against a budget of $2,915.</t>
  </si>
  <si>
    <t>5.  Repair &amp; Maintenance Expenses were $51,86 , significantly lower than budget.</t>
  </si>
  <si>
    <t>5.The Net Income for the property was  $71,379 ,higher than the budget of $69,596.</t>
  </si>
  <si>
    <t>4. The  July unit occupancy of the residential buildings was 94%. There were also no delinquent residents in July.</t>
  </si>
  <si>
    <t>3. The Other Rental Income of the property was $16,529 substantially higher than the budget of $3,802.</t>
  </si>
  <si>
    <t>INCOME SUMMARY</t>
  </si>
  <si>
    <t>CASH AVAILABLE FOR DISTRIBUTION</t>
  </si>
  <si>
    <t>YTD OWNER CONTRIBUTION IN JULY 2017</t>
  </si>
  <si>
    <t>Yearly NOI Avarege</t>
  </si>
  <si>
    <t>Property Value yearly avarage</t>
  </si>
  <si>
    <t>OWNER CONTRIBUTION IN JULY 2017</t>
  </si>
  <si>
    <t>LIFETIME OWNER CONTRIBUTION</t>
  </si>
  <si>
    <t>OTHER INCOME</t>
  </si>
  <si>
    <t>INCOME :-</t>
  </si>
  <si>
    <t>Total Receivables (0-30 Days)</t>
  </si>
  <si>
    <t>NET COLLECTIBLE RESIDENTIAL RENT</t>
  </si>
  <si>
    <t>1.The cash balance to distribution was $1,01,177.</t>
  </si>
  <si>
    <t>3.  Accured Expenses for this month was $18,099.</t>
  </si>
  <si>
    <t>4.  Total YTD Distribution Values was $416,411.</t>
  </si>
  <si>
    <t>Note:- * There is no new contribution in the period of Jan to Jul 2017</t>
  </si>
  <si>
    <t>XXXX Street Asset Manager Review Report</t>
  </si>
  <si>
    <r>
      <t xml:space="preserve">5.  Total Escrows/Reserves Balances for this month was  $117,851. </t>
    </r>
    <r>
      <rPr>
        <sz val="11"/>
        <rFont val="Calibri"/>
        <family val="2"/>
        <scheme val="minor"/>
      </rPr>
      <t>Tax Escrow was $83384, Insurance Reserve was $10,379 &amp; Replacement Reserve  was $24,087.</t>
    </r>
  </si>
  <si>
    <t>XYZ</t>
  </si>
  <si>
    <t>1. The property (XXXX Street) had a slow month compared to past months.</t>
  </si>
  <si>
    <t>XXXX Street</t>
  </si>
  <si>
    <t xml:space="preserve">XXXX St </t>
  </si>
  <si>
    <t xml:space="preserve">XYUI  </t>
  </si>
  <si>
    <t>OWNER CAPITAL-XYZ</t>
  </si>
  <si>
    <t>OWNER CAPITAL-XXXX STREET INVESTORS</t>
  </si>
  <si>
    <t>OWNER DRAW-XXXX INVESTORS</t>
  </si>
  <si>
    <t>OWNER DRAW-XYZ</t>
  </si>
  <si>
    <t xml:space="preserve">Property =  XXXXth Street </t>
  </si>
  <si>
    <t>Property =  XXXXth Street</t>
  </si>
  <si>
    <t xml:space="preserve">        Owner Draw-XYZ</t>
  </si>
  <si>
    <t xml:space="preserve">        Owner Draw-XXXX Street Investors</t>
  </si>
  <si>
    <t xml:space="preserve">        Owner Capital-XXXX Street Investors</t>
  </si>
  <si>
    <t xml:space="preserve">        Owner Capital-XYZ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</si>
</sst>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&quot;$&quot;* #,##0.00_-;\-&quot;$&quot;* #,##0.00_-;_-&quot;$&quot;* &quot;-&quot;??_-;_-@_-"/>
    <numFmt numFmtId="167" formatCode="&quot;$&quot;#,##0"/>
    <numFmt numFmtId="168" formatCode="_(* #,##0.0_);_(* \(#,##0.0\);_(* &quot;-&quot;??_);_(@_)"/>
    <numFmt numFmtId="169" formatCode="[$-409]mmm\-yy;@"/>
  </numFmts>
  <fonts count="80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000000"/>
      <name val="Calibri"/>
      <family val="2"/>
      <scheme val="minor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sz val="11"/>
      <color rgb="FF00000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6"/>
      <color rgb="FF0000FF"/>
      <name val="Calibri"/>
      <family val="2"/>
      <scheme val="minor"/>
    </font>
    <font>
      <b/>
      <u/>
      <sz val="16"/>
      <color rgb="FF0000FF"/>
      <name val="Calibri (Body)"/>
    </font>
    <font>
      <sz val="10"/>
      <name val="Arial"/>
      <family val="2"/>
    </font>
    <font>
      <sz val="8"/>
      <color rgb="FF50505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theme="1"/>
      <name val="Calibri"/>
      <family val="2"/>
      <scheme val="minor"/>
    </font>
    <font>
      <sz val="16"/>
      <name val="Verdana"/>
      <family val="2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2"/>
      <color theme="1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8"/>
      <color rgb="FF505050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sz val="9"/>
      <color theme="1"/>
      <name val="Bodoni MT Black"/>
      <family val="1"/>
    </font>
    <font>
      <sz val="9"/>
      <color theme="1"/>
      <name val="Calibri"/>
      <family val="2"/>
      <scheme val="minor"/>
    </font>
    <font>
      <sz val="9"/>
      <color rgb="FF000000"/>
      <name val="Bodoni MT Black"/>
      <family val="1"/>
    </font>
    <font>
      <sz val="9"/>
      <name val="Bodoni MT Black"/>
      <family val="1"/>
    </font>
    <font>
      <sz val="1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0000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Times New Roman"/>
      <family val="1"/>
    </font>
    <font>
      <b/>
      <sz val="9"/>
      <name val="Calibri"/>
      <family val="2"/>
      <scheme val="minor"/>
    </font>
    <font>
      <sz val="10"/>
      <color rgb="FF0000FF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6">
    <border>
      <left/>
      <right/>
      <top/>
      <bottom/>
      <diagonal/>
    </border>
    <border>
      <left style="double">
        <color rgb="FF0000FF"/>
      </left>
      <right style="thin">
        <color auto="1"/>
      </right>
      <top style="double">
        <color rgb="FF0000FF"/>
      </top>
      <bottom style="double">
        <color rgb="FF0000FF"/>
      </bottom>
      <diagonal/>
    </border>
    <border>
      <left style="thin">
        <color auto="1"/>
      </left>
      <right style="thin">
        <color auto="1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thin">
        <color auto="1"/>
      </bottom>
      <diagonal/>
    </border>
    <border>
      <left style="double">
        <color rgb="FF0000FF"/>
      </left>
      <right style="double">
        <color rgb="FF0000FF"/>
      </right>
      <top style="thin">
        <color auto="1"/>
      </top>
      <bottom style="thin">
        <color auto="1"/>
      </bottom>
      <diagonal/>
    </border>
    <border>
      <left style="double">
        <color rgb="FF0000FF"/>
      </left>
      <right style="double">
        <color rgb="FF0000FF"/>
      </right>
      <top style="thin">
        <color auto="1"/>
      </top>
      <bottom style="double">
        <color rgb="FF0000FF"/>
      </bottom>
      <diagonal/>
    </border>
    <border>
      <left style="double">
        <color rgb="FF0000FF"/>
      </left>
      <right/>
      <top style="thin">
        <color auto="1"/>
      </top>
      <bottom style="thin">
        <color auto="1"/>
      </bottom>
      <diagonal/>
    </border>
    <border>
      <left style="double">
        <color rgb="FF0000FF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/>
      <bottom style="thin">
        <color auto="1"/>
      </bottom>
      <diagonal/>
    </border>
    <border>
      <left style="double">
        <color rgb="FF0000FF"/>
      </left>
      <right style="double">
        <color rgb="FF0000FF"/>
      </right>
      <top style="thin">
        <color auto="1"/>
      </top>
      <bottom/>
      <diagonal/>
    </border>
    <border>
      <left style="double">
        <color rgb="FF0000FF"/>
      </left>
      <right/>
      <top style="double">
        <color rgb="FF0000FF"/>
      </top>
      <bottom style="thin">
        <color auto="1"/>
      </bottom>
      <diagonal/>
    </border>
    <border>
      <left style="double">
        <color rgb="FF0000FF"/>
      </left>
      <right/>
      <top style="thin">
        <color auto="1"/>
      </top>
      <bottom style="double">
        <color rgb="FF0000FF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thin">
        <color auto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rgb="FF0000FF"/>
      </right>
      <top style="double">
        <color rgb="FF0000FF"/>
      </top>
      <bottom style="thin">
        <color auto="1"/>
      </bottom>
      <diagonal/>
    </border>
    <border>
      <left/>
      <right style="double">
        <color rgb="FF0000FF"/>
      </right>
      <top style="thin">
        <color auto="1"/>
      </top>
      <bottom style="thin">
        <color auto="1"/>
      </bottom>
      <diagonal/>
    </border>
    <border>
      <left/>
      <right style="double">
        <color rgb="FF0000FF"/>
      </right>
      <top style="thin">
        <color auto="1"/>
      </top>
      <bottom style="double">
        <color rgb="FF0000FF"/>
      </bottom>
      <diagonal/>
    </border>
    <border>
      <left style="thin">
        <color auto="1"/>
      </left>
      <right/>
      <top style="double">
        <color rgb="FF0000FF"/>
      </top>
      <bottom style="double">
        <color rgb="FF0000FF"/>
      </bottom>
      <diagonal/>
    </border>
    <border>
      <left/>
      <right style="thin">
        <color auto="1"/>
      </right>
      <top style="double">
        <color rgb="FF0000FF"/>
      </top>
      <bottom style="double">
        <color rgb="FF0000FF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59999389629810485"/>
      </left>
      <right/>
      <top/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double">
        <color rgb="FF0000FF"/>
      </top>
      <bottom style="medium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8" tint="0.59999389629810485"/>
      </right>
      <top style="medium">
        <color auto="1"/>
      </top>
      <bottom style="medium">
        <color auto="1"/>
      </bottom>
      <diagonal/>
    </border>
    <border>
      <left style="thin">
        <color theme="8" tint="0.59999389629810485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8" tint="0.59999389629810485"/>
      </left>
      <right style="thin">
        <color theme="8" tint="0.59999389629810485"/>
      </right>
      <top style="medium">
        <color auto="1"/>
      </top>
      <bottom style="medium">
        <color auto="1"/>
      </bottom>
      <diagonal/>
    </border>
    <border>
      <left style="thin">
        <color theme="8" tint="0.59999389629810485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0000FF"/>
      </left>
      <right/>
      <top style="medium">
        <color auto="1"/>
      </top>
      <bottom style="medium">
        <color auto="1"/>
      </bottom>
      <diagonal/>
    </border>
    <border>
      <left/>
      <right style="double">
        <color rgb="FF0000FF"/>
      </right>
      <top style="medium">
        <color auto="1"/>
      </top>
      <bottom style="medium">
        <color auto="1"/>
      </bottom>
      <diagonal/>
    </border>
    <border>
      <left style="double">
        <color rgb="FF0000F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0000FF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rgb="FF0000FF"/>
      </right>
      <top/>
      <bottom style="thin">
        <color auto="1"/>
      </bottom>
      <diagonal/>
    </border>
    <border>
      <left style="double">
        <color rgb="FF0000FF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0000FF"/>
      </left>
      <right/>
      <top style="double">
        <color rgb="FF0000FF"/>
      </top>
      <bottom style="medium">
        <color theme="1"/>
      </bottom>
      <diagonal/>
    </border>
    <border>
      <left style="double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0000FF"/>
      </left>
      <right style="thin">
        <color auto="1"/>
      </right>
      <top style="thin">
        <color auto="1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thin">
        <color auto="1"/>
      </top>
      <bottom style="medium">
        <color auto="1"/>
      </bottom>
      <diagonal/>
    </border>
    <border>
      <left style="double">
        <color rgb="FF0000FF"/>
      </left>
      <right style="thin">
        <color auto="1"/>
      </right>
      <top style="double">
        <color rgb="FF0000FF"/>
      </top>
      <bottom style="thin">
        <color auto="1"/>
      </bottom>
      <diagonal/>
    </border>
    <border>
      <left style="thin">
        <color auto="1"/>
      </left>
      <right style="double">
        <color rgb="FF0000FF"/>
      </right>
      <top style="double">
        <color rgb="FF0000FF"/>
      </top>
      <bottom style="thin">
        <color auto="1"/>
      </bottom>
      <diagonal/>
    </border>
    <border>
      <left style="thin">
        <color auto="1"/>
      </left>
      <right style="double">
        <color rgb="FF0000FF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0000FF"/>
      </right>
      <top style="thin">
        <color auto="1"/>
      </top>
      <bottom style="double">
        <color rgb="FF0000FF"/>
      </bottom>
      <diagonal/>
    </border>
    <border>
      <left style="medium">
        <color auto="1"/>
      </left>
      <right/>
      <top style="double">
        <color rgb="FF0000FF"/>
      </top>
      <bottom style="thin">
        <color auto="1"/>
      </bottom>
      <diagonal/>
    </border>
    <border>
      <left/>
      <right style="medium">
        <color auto="1"/>
      </right>
      <top style="double">
        <color rgb="FF0000FF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rgb="FF0000FF"/>
      </bottom>
      <diagonal/>
    </border>
    <border>
      <left/>
      <right style="medium">
        <color auto="1"/>
      </right>
      <top style="thin">
        <color auto="1"/>
      </top>
      <bottom style="double">
        <color rgb="FF0000FF"/>
      </bottom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/>
      <bottom style="thick">
        <color rgb="FF0000FF"/>
      </bottom>
      <diagonal/>
    </border>
    <border>
      <left/>
      <right/>
      <top style="double">
        <color rgb="FF0000FF"/>
      </top>
      <bottom style="thin">
        <color auto="1"/>
      </bottom>
      <diagonal/>
    </border>
    <border>
      <left/>
      <right/>
      <top style="thin">
        <color auto="1"/>
      </top>
      <bottom style="double">
        <color rgb="FF0000F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FF0000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FF0000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FF0000"/>
      </right>
      <top style="double">
        <color rgb="FF0000FF"/>
      </top>
      <bottom style="double">
        <color rgb="FFFF0000"/>
      </bottom>
      <diagonal/>
    </border>
    <border>
      <left style="double">
        <color rgb="FF0000FF"/>
      </left>
      <right/>
      <top/>
      <bottom style="medium">
        <color auto="1"/>
      </bottom>
      <diagonal/>
    </border>
    <border>
      <left style="double">
        <color rgb="FFFF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rgb="FFFF0000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rgb="FFFF0000"/>
      </right>
      <top/>
      <bottom style="thin">
        <color auto="1"/>
      </bottom>
      <diagonal/>
    </border>
    <border>
      <left/>
      <right style="double">
        <color rgb="FFFF0000"/>
      </right>
      <top style="double">
        <color rgb="FF0000FF"/>
      </top>
      <bottom style="medium">
        <color theme="1"/>
      </bottom>
      <diagonal/>
    </border>
    <border>
      <left style="double">
        <color rgb="FFFF0000"/>
      </left>
      <right style="double">
        <color rgb="FF0000FF"/>
      </right>
      <top style="double">
        <color rgb="FF0000FF"/>
      </top>
      <bottom style="double">
        <color rgb="FFFF0000"/>
      </bottom>
      <diagonal/>
    </border>
    <border>
      <left/>
      <right style="double">
        <color rgb="FFFF0000"/>
      </right>
      <top/>
      <bottom style="thin">
        <color auto="1"/>
      </bottom>
      <diagonal/>
    </border>
    <border>
      <left/>
      <right style="double">
        <color rgb="FFFF0000"/>
      </right>
      <top/>
      <bottom style="medium">
        <color auto="1"/>
      </bottom>
      <diagonal/>
    </border>
    <border>
      <left style="double">
        <color rgb="FFFF0000"/>
      </left>
      <right/>
      <top/>
      <bottom style="medium">
        <color auto="1"/>
      </bottom>
      <diagonal/>
    </border>
    <border>
      <left/>
      <right style="double">
        <color rgb="FF0000FF"/>
      </right>
      <top style="medium">
        <color auto="1"/>
      </top>
      <bottom/>
      <diagonal/>
    </border>
    <border>
      <left/>
      <right style="double">
        <color rgb="FF0000FF"/>
      </right>
      <top/>
      <bottom style="medium">
        <color auto="1"/>
      </bottom>
      <diagonal/>
    </border>
    <border>
      <left style="medium">
        <color auto="1"/>
      </left>
      <right/>
      <top style="double">
        <color rgb="FF0000FF"/>
      </top>
      <bottom style="double">
        <color rgb="FF0000FF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rgb="FF0000FF"/>
      </right>
      <top/>
      <bottom style="thin">
        <color auto="1"/>
      </bottom>
      <diagonal/>
    </border>
    <border>
      <left style="double">
        <color rgb="FF0000FF"/>
      </left>
      <right style="double">
        <color rgb="FF0000FF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rgb="FF0000FF"/>
      </right>
      <top style="thin">
        <color auto="1"/>
      </top>
      <bottom/>
      <diagonal/>
    </border>
    <border>
      <left style="double">
        <color rgb="FF0000FF"/>
      </left>
      <right/>
      <top/>
      <bottom style="thin">
        <color auto="1"/>
      </bottom>
      <diagonal/>
    </border>
    <border>
      <left style="double">
        <color rgb="FF0000FF"/>
      </left>
      <right style="double">
        <color rgb="FF0000FF"/>
      </right>
      <top style="double">
        <color rgb="FFFF0000"/>
      </top>
      <bottom style="double">
        <color rgb="FF0000FF"/>
      </bottom>
      <diagonal/>
    </border>
    <border>
      <left style="double">
        <color rgb="FF0000FF"/>
      </left>
      <right style="double">
        <color rgb="FFFF0000"/>
      </right>
      <top style="double">
        <color rgb="FFFF0000"/>
      </top>
      <bottom style="double">
        <color rgb="FF0000FF"/>
      </bottom>
      <diagonal/>
    </border>
    <border>
      <left style="double">
        <color rgb="FFFF0000"/>
      </left>
      <right/>
      <top style="double">
        <color rgb="FFFF0000"/>
      </top>
      <bottom style="double">
        <color rgb="FF0000FF"/>
      </bottom>
      <diagonal/>
    </border>
    <border>
      <left/>
      <right/>
      <top style="double">
        <color rgb="FFFF0000"/>
      </top>
      <bottom style="double">
        <color rgb="FF0000FF"/>
      </bottom>
      <diagonal/>
    </border>
    <border>
      <left/>
      <right style="double">
        <color rgb="FF0000FF"/>
      </right>
      <top style="double">
        <color rgb="FFFF0000"/>
      </top>
      <bottom style="double">
        <color rgb="FF0000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rgb="FFFF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rgb="FFFF0000"/>
      </bottom>
      <diagonal/>
    </border>
    <border>
      <left/>
      <right style="medium">
        <color auto="1"/>
      </right>
      <top style="medium">
        <color auto="1"/>
      </top>
      <bottom style="double">
        <color rgb="FFFF0000"/>
      </bottom>
      <diagonal/>
    </border>
    <border>
      <left style="double">
        <color rgb="FFFF0000"/>
      </left>
      <right style="thin">
        <color theme="1"/>
      </right>
      <top style="thin">
        <color auto="1"/>
      </top>
      <bottom style="double">
        <color rgb="FFFF0000"/>
      </bottom>
      <diagonal/>
    </border>
    <border>
      <left style="double">
        <color rgb="FFFF0000"/>
      </left>
      <right style="thin">
        <color theme="1"/>
      </right>
      <top style="double">
        <color rgb="FF0000FF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double">
        <color rgb="FF0000FF"/>
      </top>
      <bottom style="thin">
        <color auto="1"/>
      </bottom>
      <diagonal/>
    </border>
    <border>
      <left style="thin">
        <color theme="1"/>
      </left>
      <right style="double">
        <color rgb="FFFF0000"/>
      </right>
      <top style="double">
        <color rgb="FF0000FF"/>
      </top>
      <bottom style="thin">
        <color auto="1"/>
      </bottom>
      <diagonal/>
    </border>
    <border>
      <left style="double">
        <color rgb="FFFF0000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double">
        <color rgb="FFFF0000"/>
      </bottom>
      <diagonal/>
    </border>
    <border>
      <left style="thin">
        <color theme="1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4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9" fontId="14" fillId="0" borderId="0" applyFont="0" applyFill="0" applyBorder="0" applyAlignment="0" applyProtection="0"/>
    <xf numFmtId="0" fontId="9" fillId="0" borderId="0"/>
    <xf numFmtId="43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7" fillId="0" borderId="0"/>
    <xf numFmtId="43" fontId="7" fillId="0" borderId="0" applyFont="0" applyFill="0" applyBorder="0" applyAlignment="0" applyProtection="0"/>
    <xf numFmtId="0" fontId="30" fillId="0" borderId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" fillId="0" borderId="0"/>
    <xf numFmtId="0" fontId="25" fillId="0" borderId="0"/>
    <xf numFmtId="43" fontId="25" fillId="0" borderId="0" applyFont="0" applyFill="0" applyBorder="0" applyAlignment="0" applyProtection="0"/>
    <xf numFmtId="0" fontId="3" fillId="0" borderId="0"/>
    <xf numFmtId="0" fontId="5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686">
    <xf numFmtId="0" fontId="0" fillId="0" borderId="0" xfId="0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center" vertical="top"/>
    </xf>
    <xf numFmtId="0" fontId="22" fillId="5" borderId="0" xfId="0" applyFont="1" applyFill="1" applyBorder="1" applyAlignment="1">
      <alignment horizontal="center" vertical="top"/>
    </xf>
    <xf numFmtId="0" fontId="22" fillId="5" borderId="0" xfId="0" applyFont="1" applyFill="1" applyBorder="1" applyAlignment="1">
      <alignment horizontal="left" vertical="top"/>
    </xf>
    <xf numFmtId="0" fontId="17" fillId="4" borderId="13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1" fontId="17" fillId="0" borderId="0" xfId="0" applyNumberFormat="1" applyFont="1" applyFill="1" applyBorder="1" applyAlignment="1">
      <alignment horizontal="right" vertical="top"/>
    </xf>
    <xf numFmtId="9" fontId="17" fillId="0" borderId="0" xfId="0" applyNumberFormat="1" applyFont="1" applyFill="1" applyBorder="1" applyAlignment="1">
      <alignment horizontal="center" vertical="top"/>
    </xf>
    <xf numFmtId="0" fontId="22" fillId="2" borderId="3" xfId="0" applyFont="1" applyFill="1" applyBorder="1" applyAlignment="1">
      <alignment horizontal="left" vertical="top"/>
    </xf>
    <xf numFmtId="0" fontId="22" fillId="2" borderId="5" xfId="0" applyFont="1" applyFill="1" applyBorder="1" applyAlignment="1">
      <alignment horizontal="left" vertical="top"/>
    </xf>
    <xf numFmtId="164" fontId="17" fillId="4" borderId="12" xfId="1" applyNumberFormat="1" applyFont="1" applyFill="1" applyBorder="1" applyAlignment="1">
      <alignment horizontal="right" vertical="top"/>
    </xf>
    <xf numFmtId="164" fontId="22" fillId="2" borderId="3" xfId="1" applyNumberFormat="1" applyFont="1" applyFill="1" applyBorder="1" applyAlignment="1">
      <alignment horizontal="right" vertical="top"/>
    </xf>
    <xf numFmtId="164" fontId="22" fillId="2" borderId="5" xfId="1" applyNumberFormat="1" applyFont="1" applyFill="1" applyBorder="1" applyAlignment="1">
      <alignment horizontal="right" vertical="top"/>
    </xf>
    <xf numFmtId="164" fontId="17" fillId="0" borderId="0" xfId="1" applyNumberFormat="1" applyFont="1" applyFill="1" applyBorder="1" applyAlignment="1">
      <alignment horizontal="right" vertical="top"/>
    </xf>
    <xf numFmtId="43" fontId="15" fillId="4" borderId="29" xfId="1" applyFont="1" applyFill="1" applyBorder="1" applyAlignment="1">
      <alignment horizontal="center" vertical="top"/>
    </xf>
    <xf numFmtId="0" fontId="15" fillId="4" borderId="14" xfId="2" applyFont="1" applyFill="1" applyBorder="1" applyAlignment="1">
      <alignment vertical="top"/>
    </xf>
    <xf numFmtId="43" fontId="15" fillId="4" borderId="2" xfId="1" applyNumberFormat="1" applyFont="1" applyFill="1" applyBorder="1" applyAlignment="1">
      <alignment horizontal="right" vertical="top"/>
    </xf>
    <xf numFmtId="1" fontId="15" fillId="2" borderId="0" xfId="2" applyNumberFormat="1" applyFont="1" applyFill="1" applyBorder="1" applyAlignment="1">
      <alignment horizontal="right" vertical="top"/>
    </xf>
    <xf numFmtId="164" fontId="20" fillId="9" borderId="3" xfId="1" applyNumberFormat="1" applyFont="1" applyFill="1" applyBorder="1" applyAlignment="1">
      <alignment horizontal="right" vertical="top"/>
    </xf>
    <xf numFmtId="164" fontId="15" fillId="9" borderId="29" xfId="1" applyNumberFormat="1" applyFont="1" applyFill="1" applyBorder="1" applyAlignment="1">
      <alignment horizontal="right" vertical="top"/>
    </xf>
    <xf numFmtId="43" fontId="20" fillId="8" borderId="3" xfId="1" applyNumberFormat="1" applyFont="1" applyFill="1" applyBorder="1" applyAlignment="1">
      <alignment horizontal="right" vertical="top"/>
    </xf>
    <xf numFmtId="164" fontId="20" fillId="8" borderId="3" xfId="1" applyNumberFormat="1" applyFont="1" applyFill="1" applyBorder="1" applyAlignment="1">
      <alignment horizontal="right" vertical="top"/>
    </xf>
    <xf numFmtId="164" fontId="20" fillId="9" borderId="16" xfId="1" applyNumberFormat="1" applyFont="1" applyFill="1" applyBorder="1" applyAlignment="1">
      <alignment horizontal="right" vertical="top"/>
    </xf>
    <xf numFmtId="164" fontId="15" fillId="4" borderId="12" xfId="1" applyNumberFormat="1" applyFont="1" applyFill="1" applyBorder="1" applyAlignment="1">
      <alignment horizontal="right" vertical="top"/>
    </xf>
    <xf numFmtId="164" fontId="15" fillId="2" borderId="0" xfId="1" applyNumberFormat="1" applyFont="1" applyFill="1" applyBorder="1" applyAlignment="1">
      <alignment horizontal="right" vertical="top"/>
    </xf>
    <xf numFmtId="164" fontId="15" fillId="4" borderId="2" xfId="1" applyNumberFormat="1" applyFont="1" applyFill="1" applyBorder="1" applyAlignment="1">
      <alignment horizontal="right" vertical="top"/>
    </xf>
    <xf numFmtId="164" fontId="20" fillId="9" borderId="4" xfId="1" applyNumberFormat="1" applyFont="1" applyFill="1" applyBorder="1" applyAlignment="1">
      <alignment horizontal="right" vertical="top"/>
    </xf>
    <xf numFmtId="164" fontId="17" fillId="0" borderId="0" xfId="1" applyNumberFormat="1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left" vertical="top"/>
    </xf>
    <xf numFmtId="9" fontId="15" fillId="4" borderId="12" xfId="3" applyFont="1" applyFill="1" applyBorder="1" applyAlignment="1">
      <alignment horizontal="center" vertical="top"/>
    </xf>
    <xf numFmtId="9" fontId="15" fillId="4" borderId="2" xfId="3" applyFont="1" applyFill="1" applyBorder="1" applyAlignment="1">
      <alignment horizontal="center" vertical="top"/>
    </xf>
    <xf numFmtId="165" fontId="20" fillId="12" borderId="16" xfId="3" applyNumberFormat="1" applyFont="1" applyFill="1" applyBorder="1" applyAlignment="1">
      <alignment horizontal="center" vertical="top"/>
    </xf>
    <xf numFmtId="0" fontId="20" fillId="12" borderId="3" xfId="2" applyFont="1" applyFill="1" applyBorder="1" applyAlignment="1">
      <alignment horizontal="right" vertical="top"/>
    </xf>
    <xf numFmtId="43" fontId="20" fillId="12" borderId="3" xfId="1" applyNumberFormat="1" applyFont="1" applyFill="1" applyBorder="1" applyAlignment="1">
      <alignment horizontal="right" vertical="top"/>
    </xf>
    <xf numFmtId="43" fontId="20" fillId="12" borderId="4" xfId="1" applyNumberFormat="1" applyFont="1" applyFill="1" applyBorder="1" applyAlignment="1">
      <alignment horizontal="right" vertical="top"/>
    </xf>
    <xf numFmtId="43" fontId="15" fillId="12" borderId="29" xfId="1" applyNumberFormat="1" applyFont="1" applyFill="1" applyBorder="1" applyAlignment="1">
      <alignment horizontal="right" vertical="top"/>
    </xf>
    <xf numFmtId="0" fontId="22" fillId="2" borderId="0" xfId="0" applyFont="1" applyFill="1" applyBorder="1" applyAlignment="1">
      <alignment horizontal="center" vertical="top"/>
    </xf>
    <xf numFmtId="164" fontId="29" fillId="0" borderId="38" xfId="11" applyNumberFormat="1" applyFont="1" applyFill="1" applyBorder="1" applyAlignment="1">
      <alignment horizontal="right" vertical="center"/>
    </xf>
    <xf numFmtId="164" fontId="17" fillId="4" borderId="12" xfId="11" applyNumberFormat="1" applyFont="1" applyFill="1" applyBorder="1" applyAlignment="1">
      <alignment horizontal="right" vertical="top"/>
    </xf>
    <xf numFmtId="43" fontId="13" fillId="0" borderId="37" xfId="11" applyFont="1" applyFill="1" applyBorder="1" applyAlignment="1">
      <alignment horizontal="right" vertical="center"/>
    </xf>
    <xf numFmtId="43" fontId="13" fillId="0" borderId="38" xfId="11" applyFont="1" applyFill="1" applyBorder="1" applyAlignment="1">
      <alignment horizontal="right" vertical="center"/>
    </xf>
    <xf numFmtId="43" fontId="13" fillId="0" borderId="38" xfId="11" applyNumberFormat="1" applyFont="1" applyFill="1" applyBorder="1" applyAlignment="1">
      <alignment horizontal="right" vertical="center"/>
    </xf>
    <xf numFmtId="0" fontId="31" fillId="0" borderId="0" xfId="15" applyFont="1"/>
    <xf numFmtId="0" fontId="30" fillId="0" borderId="0" xfId="15"/>
    <xf numFmtId="0" fontId="31" fillId="0" borderId="0" xfId="15" applyFont="1" applyAlignment="1">
      <alignment horizontal="left" indent="1"/>
    </xf>
    <xf numFmtId="0" fontId="32" fillId="16" borderId="48" xfId="15" applyFont="1" applyFill="1" applyBorder="1" applyAlignment="1">
      <alignment horizontal="center" vertical="center"/>
    </xf>
    <xf numFmtId="0" fontId="34" fillId="16" borderId="48" xfId="15" applyFont="1" applyFill="1" applyBorder="1"/>
    <xf numFmtId="167" fontId="33" fillId="0" borderId="48" xfId="15" applyNumberFormat="1" applyFont="1" applyBorder="1" applyAlignment="1">
      <alignment horizontal="center"/>
    </xf>
    <xf numFmtId="9" fontId="33" fillId="0" borderId="48" xfId="17" applyFont="1" applyBorder="1" applyAlignment="1">
      <alignment horizontal="center"/>
    </xf>
    <xf numFmtId="0" fontId="30" fillId="0" borderId="0" xfId="15" applyAlignment="1">
      <alignment horizontal="left" indent="1"/>
    </xf>
    <xf numFmtId="43" fontId="13" fillId="0" borderId="0" xfId="11" applyFont="1" applyFill="1" applyBorder="1" applyAlignment="1">
      <alignment horizontal="right" vertical="center"/>
    </xf>
    <xf numFmtId="43" fontId="13" fillId="0" borderId="0" xfId="11" applyNumberFormat="1" applyFont="1" applyFill="1" applyBorder="1" applyAlignment="1">
      <alignment horizontal="right" vertical="center"/>
    </xf>
    <xf numFmtId="0" fontId="35" fillId="16" borderId="48" xfId="15" applyFont="1" applyFill="1" applyBorder="1" applyAlignment="1">
      <alignment horizontal="center" vertical="center" wrapText="1"/>
    </xf>
    <xf numFmtId="0" fontId="35" fillId="16" borderId="48" xfId="15" applyFont="1" applyFill="1" applyBorder="1"/>
    <xf numFmtId="0" fontId="22" fillId="2" borderId="0" xfId="0" applyFont="1" applyFill="1" applyBorder="1" applyAlignment="1">
      <alignment horizontal="center" vertical="top"/>
    </xf>
    <xf numFmtId="0" fontId="21" fillId="11" borderId="0" xfId="0" applyFont="1" applyFill="1" applyBorder="1" applyAlignment="1">
      <alignment vertical="center" wrapText="1"/>
    </xf>
    <xf numFmtId="0" fontId="25" fillId="0" borderId="0" xfId="19"/>
    <xf numFmtId="0" fontId="25" fillId="0" borderId="0" xfId="19" applyAlignment="1"/>
    <xf numFmtId="0" fontId="29" fillId="0" borderId="0" xfId="19" applyFont="1" applyAlignment="1">
      <alignment horizontal="left" vertical="center"/>
    </xf>
    <xf numFmtId="0" fontId="31" fillId="0" borderId="58" xfId="15" applyFont="1" applyBorder="1"/>
    <xf numFmtId="164" fontId="29" fillId="0" borderId="37" xfId="11" applyNumberFormat="1" applyFont="1" applyFill="1" applyBorder="1" applyAlignment="1">
      <alignment horizontal="right" vertical="center"/>
    </xf>
    <xf numFmtId="0" fontId="32" fillId="15" borderId="61" xfId="15" applyFont="1" applyFill="1" applyBorder="1" applyAlignment="1">
      <alignment horizontal="center" vertical="center"/>
    </xf>
    <xf numFmtId="0" fontId="32" fillId="15" borderId="63" xfId="15" applyFont="1" applyFill="1" applyBorder="1" applyAlignment="1">
      <alignment horizontal="center" vertical="center"/>
    </xf>
    <xf numFmtId="0" fontId="32" fillId="15" borderId="62" xfId="15" applyFont="1" applyFill="1" applyBorder="1" applyAlignment="1">
      <alignment horizontal="center" vertical="center"/>
    </xf>
    <xf numFmtId="164" fontId="31" fillId="0" borderId="0" xfId="15" applyNumberFormat="1" applyFont="1"/>
    <xf numFmtId="0" fontId="37" fillId="0" borderId="0" xfId="15" applyFont="1" applyAlignment="1">
      <alignment horizontal="left" indent="1"/>
    </xf>
    <xf numFmtId="0" fontId="37" fillId="0" borderId="0" xfId="15" applyFont="1"/>
    <xf numFmtId="164" fontId="12" fillId="4" borderId="12" xfId="11" applyNumberFormat="1" applyFont="1" applyFill="1" applyBorder="1" applyAlignment="1">
      <alignment horizontal="right" vertical="top"/>
    </xf>
    <xf numFmtId="0" fontId="12" fillId="4" borderId="13" xfId="12" applyFont="1" applyFill="1" applyBorder="1" applyAlignment="1">
      <alignment vertical="top"/>
    </xf>
    <xf numFmtId="0" fontId="12" fillId="4" borderId="54" xfId="12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22" fillId="2" borderId="0" xfId="0" applyFont="1" applyFill="1" applyBorder="1" applyAlignment="1">
      <alignment horizontal="center" vertical="top"/>
    </xf>
    <xf numFmtId="164" fontId="13" fillId="0" borderId="72" xfId="11" applyNumberFormat="1" applyFont="1" applyFill="1" applyBorder="1" applyAlignment="1">
      <alignment horizontal="right" vertical="center"/>
    </xf>
    <xf numFmtId="164" fontId="40" fillId="0" borderId="4" xfId="20" applyNumberFormat="1" applyFont="1" applyFill="1" applyBorder="1" applyAlignment="1" applyProtection="1">
      <protection locked="0"/>
    </xf>
    <xf numFmtId="43" fontId="40" fillId="0" borderId="4" xfId="20" applyNumberFormat="1" applyFont="1" applyFill="1" applyBorder="1" applyAlignment="1" applyProtection="1">
      <protection locked="0"/>
    </xf>
    <xf numFmtId="0" fontId="39" fillId="18" borderId="3" xfId="18" applyFont="1" applyFill="1" applyBorder="1" applyAlignment="1">
      <alignment wrapText="1"/>
    </xf>
    <xf numFmtId="0" fontId="39" fillId="18" borderId="4" xfId="18" applyFont="1" applyFill="1" applyBorder="1" applyAlignment="1">
      <alignment wrapText="1"/>
    </xf>
    <xf numFmtId="164" fontId="39" fillId="18" borderId="76" xfId="20" applyNumberFormat="1" applyFont="1" applyFill="1" applyBorder="1" applyAlignment="1" applyProtection="1">
      <alignment horizontal="left"/>
      <protection locked="0"/>
    </xf>
    <xf numFmtId="3" fontId="40" fillId="0" borderId="16" xfId="20" applyNumberFormat="1" applyFont="1" applyFill="1" applyBorder="1" applyAlignment="1" applyProtection="1">
      <protection locked="0"/>
    </xf>
    <xf numFmtId="0" fontId="22" fillId="2" borderId="0" xfId="0" applyFont="1" applyFill="1" applyBorder="1" applyAlignment="1">
      <alignment horizontal="center" vertical="top"/>
    </xf>
    <xf numFmtId="43" fontId="11" fillId="0" borderId="0" xfId="11" applyFont="1" applyFill="1" applyBorder="1"/>
    <xf numFmtId="43" fontId="42" fillId="0" borderId="0" xfId="11" applyFont="1" applyFill="1"/>
    <xf numFmtId="43" fontId="11" fillId="0" borderId="0" xfId="11" applyFont="1" applyFill="1" applyAlignment="1"/>
    <xf numFmtId="164" fontId="13" fillId="0" borderId="38" xfId="11" applyNumberFormat="1" applyFont="1" applyFill="1" applyBorder="1" applyAlignment="1">
      <alignment horizontal="right" vertical="center"/>
    </xf>
    <xf numFmtId="164" fontId="42" fillId="0" borderId="38" xfId="11" applyNumberFormat="1" applyFont="1" applyFill="1" applyBorder="1" applyAlignment="1">
      <alignment horizontal="right" vertical="center"/>
    </xf>
    <xf numFmtId="0" fontId="13" fillId="0" borderId="0" xfId="12" applyFont="1" applyFill="1" applyAlignment="1"/>
    <xf numFmtId="43" fontId="11" fillId="0" borderId="0" xfId="11" applyFont="1" applyFill="1"/>
    <xf numFmtId="168" fontId="13" fillId="0" borderId="37" xfId="11" applyNumberFormat="1" applyFont="1" applyFill="1" applyBorder="1" applyAlignment="1">
      <alignment horizontal="right" vertical="center"/>
    </xf>
    <xf numFmtId="164" fontId="13" fillId="0" borderId="71" xfId="11" applyNumberFormat="1" applyFont="1" applyFill="1" applyBorder="1" applyAlignment="1">
      <alignment horizontal="right" vertical="center"/>
    </xf>
    <xf numFmtId="0" fontId="44" fillId="0" borderId="73" xfId="15" applyFont="1" applyBorder="1"/>
    <xf numFmtId="0" fontId="44" fillId="0" borderId="0" xfId="15" applyFont="1"/>
    <xf numFmtId="0" fontId="44" fillId="0" borderId="0" xfId="15" applyFont="1" applyAlignment="1">
      <alignment horizontal="left" indent="1"/>
    </xf>
    <xf numFmtId="164" fontId="44" fillId="0" borderId="0" xfId="15" applyNumberFormat="1" applyFont="1"/>
    <xf numFmtId="43" fontId="42" fillId="0" borderId="0" xfId="11" applyFont="1" applyFill="1" applyBorder="1" applyAlignment="1">
      <alignment vertical="center"/>
    </xf>
    <xf numFmtId="0" fontId="42" fillId="0" borderId="0" xfId="12" applyFont="1" applyFill="1" applyBorder="1" applyAlignment="1">
      <alignment vertical="center"/>
    </xf>
    <xf numFmtId="168" fontId="20" fillId="8" borderId="16" xfId="1" applyNumberFormat="1" applyFont="1" applyFill="1" applyBorder="1" applyAlignment="1">
      <alignment horizontal="right" vertical="top"/>
    </xf>
    <xf numFmtId="168" fontId="15" fillId="4" borderId="12" xfId="1" applyNumberFormat="1" applyFont="1" applyFill="1" applyBorder="1" applyAlignment="1">
      <alignment horizontal="right" vertical="top"/>
    </xf>
    <xf numFmtId="164" fontId="13" fillId="0" borderId="37" xfId="11" applyNumberFormat="1" applyFont="1" applyFill="1" applyBorder="1" applyAlignment="1">
      <alignment horizontal="right" vertical="center"/>
    </xf>
    <xf numFmtId="168" fontId="20" fillId="8" borderId="4" xfId="1" applyNumberFormat="1" applyFont="1" applyFill="1" applyBorder="1" applyAlignment="1">
      <alignment horizontal="right" vertical="top"/>
    </xf>
    <xf numFmtId="168" fontId="15" fillId="8" borderId="29" xfId="1" applyNumberFormat="1" applyFont="1" applyFill="1" applyBorder="1" applyAlignment="1">
      <alignment horizontal="right" vertical="top"/>
    </xf>
    <xf numFmtId="0" fontId="47" fillId="3" borderId="15" xfId="0" applyFont="1" applyFill="1" applyBorder="1" applyAlignment="1">
      <alignment vertical="top"/>
    </xf>
    <xf numFmtId="0" fontId="50" fillId="19" borderId="0" xfId="21" applyFont="1" applyFill="1"/>
    <xf numFmtId="0" fontId="50" fillId="19" borderId="9" xfId="21" applyFont="1" applyFill="1" applyBorder="1"/>
    <xf numFmtId="0" fontId="50" fillId="19" borderId="10" xfId="21" applyFont="1" applyFill="1" applyBorder="1"/>
    <xf numFmtId="0" fontId="50" fillId="19" borderId="11" xfId="21" applyFont="1" applyFill="1" applyBorder="1"/>
    <xf numFmtId="0" fontId="50" fillId="19" borderId="20" xfId="21" applyFont="1" applyFill="1" applyBorder="1"/>
    <xf numFmtId="0" fontId="50" fillId="19" borderId="0" xfId="21" applyFont="1" applyFill="1" applyBorder="1"/>
    <xf numFmtId="0" fontId="50" fillId="19" borderId="21" xfId="21" applyFont="1" applyFill="1" applyBorder="1"/>
    <xf numFmtId="0" fontId="50" fillId="19" borderId="20" xfId="21" applyFont="1" applyFill="1" applyBorder="1" applyAlignment="1">
      <alignment horizontal="center"/>
    </xf>
    <xf numFmtId="0" fontId="50" fillId="19" borderId="22" xfId="21" applyFont="1" applyFill="1" applyBorder="1" applyAlignment="1">
      <alignment horizontal="center"/>
    </xf>
    <xf numFmtId="0" fontId="50" fillId="19" borderId="23" xfId="21" applyFont="1" applyFill="1" applyBorder="1"/>
    <xf numFmtId="0" fontId="50" fillId="19" borderId="24" xfId="21" applyFont="1" applyFill="1" applyBorder="1"/>
    <xf numFmtId="0" fontId="50" fillId="19" borderId="0" xfId="21" applyFont="1" applyFill="1" applyAlignment="1">
      <alignment horizontal="center"/>
    </xf>
    <xf numFmtId="169" fontId="52" fillId="19" borderId="20" xfId="22" applyNumberFormat="1" applyFont="1" applyFill="1" applyBorder="1" applyAlignment="1" applyProtection="1">
      <alignment horizontal="center"/>
    </xf>
    <xf numFmtId="0" fontId="53" fillId="19" borderId="0" xfId="21" applyFont="1" applyFill="1" applyBorder="1" applyAlignment="1">
      <alignment horizontal="center"/>
    </xf>
    <xf numFmtId="0" fontId="26" fillId="0" borderId="0" xfId="19" applyFont="1" applyFill="1" applyAlignment="1">
      <alignment vertical="center"/>
    </xf>
    <xf numFmtId="0" fontId="25" fillId="0" borderId="0" xfId="19" applyFill="1"/>
    <xf numFmtId="0" fontId="27" fillId="0" borderId="0" xfId="19" applyFont="1" applyFill="1" applyAlignment="1">
      <alignment vertical="center"/>
    </xf>
    <xf numFmtId="0" fontId="28" fillId="0" borderId="39" xfId="19" applyFont="1" applyFill="1" applyBorder="1" applyAlignment="1">
      <alignment horizontal="left" vertical="center"/>
    </xf>
    <xf numFmtId="0" fontId="28" fillId="0" borderId="41" xfId="19" applyFont="1" applyFill="1" applyBorder="1" applyAlignment="1">
      <alignment horizontal="center" vertical="center"/>
    </xf>
    <xf numFmtId="0" fontId="28" fillId="0" borderId="42" xfId="19" applyFont="1" applyFill="1" applyBorder="1" applyAlignment="1">
      <alignment horizontal="center" vertical="center"/>
    </xf>
    <xf numFmtId="0" fontId="28" fillId="0" borderId="43" xfId="19" applyFont="1" applyFill="1" applyBorder="1" applyAlignment="1">
      <alignment horizontal="center" vertical="center"/>
    </xf>
    <xf numFmtId="0" fontId="28" fillId="0" borderId="96" xfId="19" applyFont="1" applyFill="1" applyBorder="1" applyAlignment="1">
      <alignment horizontal="center" vertical="center"/>
    </xf>
    <xf numFmtId="0" fontId="25" fillId="0" borderId="0" xfId="19" applyFill="1" applyAlignment="1"/>
    <xf numFmtId="0" fontId="28" fillId="0" borderId="53" xfId="19" applyFont="1" applyFill="1" applyBorder="1" applyAlignment="1">
      <alignment horizontal="left" vertical="center"/>
    </xf>
    <xf numFmtId="0" fontId="28" fillId="0" borderId="44" xfId="19" applyFont="1" applyFill="1" applyBorder="1" applyAlignment="1">
      <alignment horizontal="center" vertical="center"/>
    </xf>
    <xf numFmtId="0" fontId="28" fillId="0" borderId="8" xfId="19" applyFont="1" applyFill="1" applyBorder="1" applyAlignment="1">
      <alignment horizontal="center" vertical="center"/>
    </xf>
    <xf numFmtId="0" fontId="28" fillId="0" borderId="45" xfId="19" applyFont="1" applyFill="1" applyBorder="1" applyAlignment="1">
      <alignment horizontal="center" vertical="center"/>
    </xf>
    <xf numFmtId="0" fontId="28" fillId="0" borderId="95" xfId="19" applyFont="1" applyFill="1" applyBorder="1" applyAlignment="1">
      <alignment horizontal="center" vertical="center"/>
    </xf>
    <xf numFmtId="0" fontId="28" fillId="0" borderId="0" xfId="19" applyFont="1" applyFill="1" applyBorder="1" applyAlignment="1">
      <alignment horizontal="left" vertical="center"/>
    </xf>
    <xf numFmtId="164" fontId="29" fillId="0" borderId="44" xfId="23" applyNumberFormat="1" applyFont="1" applyFill="1" applyBorder="1" applyAlignment="1">
      <alignment horizontal="center" vertical="center"/>
    </xf>
    <xf numFmtId="164" fontId="29" fillId="0" borderId="8" xfId="23" applyNumberFormat="1" applyFont="1" applyFill="1" applyBorder="1" applyAlignment="1">
      <alignment horizontal="center" vertical="center"/>
    </xf>
    <xf numFmtId="164" fontId="29" fillId="0" borderId="45" xfId="23" applyNumberFormat="1" applyFont="1" applyFill="1" applyBorder="1" applyAlignment="1">
      <alignment horizontal="center" vertical="center"/>
    </xf>
    <xf numFmtId="164" fontId="29" fillId="0" borderId="95" xfId="23" applyNumberFormat="1" applyFont="1" applyFill="1" applyBorder="1" applyAlignment="1">
      <alignment horizontal="center" vertical="center"/>
    </xf>
    <xf numFmtId="164" fontId="29" fillId="0" borderId="92" xfId="23" applyNumberFormat="1" applyFont="1" applyFill="1" applyBorder="1" applyAlignment="1">
      <alignment horizontal="center" vertical="center"/>
    </xf>
    <xf numFmtId="164" fontId="29" fillId="0" borderId="91" xfId="23" applyNumberFormat="1" applyFont="1" applyFill="1" applyBorder="1" applyAlignment="1">
      <alignment horizontal="center" vertical="center"/>
    </xf>
    <xf numFmtId="164" fontId="29" fillId="0" borderId="93" xfId="23" applyNumberFormat="1" applyFont="1" applyFill="1" applyBorder="1" applyAlignment="1">
      <alignment horizontal="center" vertical="center"/>
    </xf>
    <xf numFmtId="164" fontId="29" fillId="0" borderId="97" xfId="23" applyNumberFormat="1" applyFont="1" applyFill="1" applyBorder="1" applyAlignment="1">
      <alignment horizontal="center" vertical="center"/>
    </xf>
    <xf numFmtId="0" fontId="29" fillId="4" borderId="25" xfId="19" applyFont="1" applyFill="1" applyBorder="1" applyAlignment="1">
      <alignment horizontal="left" vertical="center"/>
    </xf>
    <xf numFmtId="164" fontId="29" fillId="4" borderId="98" xfId="23" applyNumberFormat="1" applyFont="1" applyFill="1" applyBorder="1" applyAlignment="1">
      <alignment horizontal="center" vertical="center"/>
    </xf>
    <xf numFmtId="164" fontId="29" fillId="0" borderId="99" xfId="23" applyNumberFormat="1" applyFont="1" applyFill="1" applyBorder="1" applyAlignment="1">
      <alignment horizontal="center" vertical="center"/>
    </xf>
    <xf numFmtId="164" fontId="29" fillId="0" borderId="90" xfId="23" applyNumberFormat="1" applyFont="1" applyFill="1" applyBorder="1" applyAlignment="1">
      <alignment horizontal="center" vertical="center"/>
    </xf>
    <xf numFmtId="164" fontId="29" fillId="0" borderId="100" xfId="23" applyNumberFormat="1" applyFont="1" applyFill="1" applyBorder="1" applyAlignment="1">
      <alignment horizontal="center" vertical="center"/>
    </xf>
    <xf numFmtId="164" fontId="29" fillId="0" borderId="101" xfId="23" applyNumberFormat="1" applyFont="1" applyFill="1" applyBorder="1" applyAlignment="1">
      <alignment horizontal="center" vertical="center"/>
    </xf>
    <xf numFmtId="164" fontId="28" fillId="0" borderId="99" xfId="23" applyNumberFormat="1" applyFont="1" applyFill="1" applyBorder="1" applyAlignment="1">
      <alignment horizontal="center" vertical="center"/>
    </xf>
    <xf numFmtId="164" fontId="28" fillId="0" borderId="90" xfId="23" applyNumberFormat="1" applyFont="1" applyFill="1" applyBorder="1" applyAlignment="1">
      <alignment horizontal="center" vertical="center"/>
    </xf>
    <xf numFmtId="164" fontId="28" fillId="0" borderId="100" xfId="23" applyNumberFormat="1" applyFont="1" applyFill="1" applyBorder="1" applyAlignment="1">
      <alignment horizontal="center" vertical="center"/>
    </xf>
    <xf numFmtId="164" fontId="28" fillId="0" borderId="101" xfId="23" applyNumberFormat="1" applyFont="1" applyFill="1" applyBorder="1" applyAlignment="1">
      <alignment horizontal="center" vertical="center"/>
    </xf>
    <xf numFmtId="0" fontId="29" fillId="0" borderId="0" xfId="19" applyFont="1" applyFill="1" applyAlignment="1">
      <alignment horizontal="left" vertical="center"/>
    </xf>
    <xf numFmtId="164" fontId="29" fillId="0" borderId="44" xfId="23" applyNumberFormat="1" applyFont="1" applyFill="1" applyBorder="1" applyAlignment="1">
      <alignment horizontal="right" vertical="center"/>
    </xf>
    <xf numFmtId="164" fontId="29" fillId="0" borderId="8" xfId="23" applyNumberFormat="1" applyFont="1" applyFill="1" applyBorder="1" applyAlignment="1">
      <alignment horizontal="right" vertical="center"/>
    </xf>
    <xf numFmtId="164" fontId="29" fillId="0" borderId="45" xfId="23" applyNumberFormat="1" applyFont="1" applyFill="1" applyBorder="1" applyAlignment="1">
      <alignment horizontal="right" vertical="center"/>
    </xf>
    <xf numFmtId="164" fontId="29" fillId="0" borderId="95" xfId="23" applyNumberFormat="1" applyFont="1" applyFill="1" applyBorder="1" applyAlignment="1">
      <alignment horizontal="right" vertical="center"/>
    </xf>
    <xf numFmtId="0" fontId="29" fillId="20" borderId="25" xfId="19" applyFont="1" applyFill="1" applyBorder="1" applyAlignment="1">
      <alignment horizontal="left" vertical="center"/>
    </xf>
    <xf numFmtId="164" fontId="29" fillId="20" borderId="44" xfId="23" applyNumberFormat="1" applyFont="1" applyFill="1" applyBorder="1" applyAlignment="1">
      <alignment horizontal="right" vertical="center"/>
    </xf>
    <xf numFmtId="164" fontId="29" fillId="20" borderId="46" xfId="23" applyNumberFormat="1" applyFont="1" applyFill="1" applyBorder="1" applyAlignment="1">
      <alignment horizontal="right" vertical="center"/>
    </xf>
    <xf numFmtId="4" fontId="25" fillId="0" borderId="0" xfId="19" applyNumberFormat="1" applyFill="1"/>
    <xf numFmtId="164" fontId="29" fillId="20" borderId="25" xfId="23" applyNumberFormat="1" applyFont="1" applyFill="1" applyBorder="1" applyAlignment="1">
      <alignment horizontal="right" vertical="center"/>
    </xf>
    <xf numFmtId="164" fontId="29" fillId="20" borderId="26" xfId="23" applyNumberFormat="1" applyFont="1" applyFill="1" applyBorder="1" applyAlignment="1">
      <alignment horizontal="right" vertical="center"/>
    </xf>
    <xf numFmtId="164" fontId="29" fillId="20" borderId="27" xfId="23" applyNumberFormat="1" applyFont="1" applyFill="1" applyBorder="1" applyAlignment="1">
      <alignment horizontal="right" vertical="center"/>
    </xf>
    <xf numFmtId="164" fontId="25" fillId="0" borderId="0" xfId="19" applyNumberFormat="1" applyFill="1"/>
    <xf numFmtId="9" fontId="13" fillId="0" borderId="38" xfId="3" applyFont="1" applyFill="1" applyBorder="1" applyAlignment="1">
      <alignment horizontal="center" vertical="center"/>
    </xf>
    <xf numFmtId="9" fontId="12" fillId="4" borderId="12" xfId="3" applyFont="1" applyFill="1" applyBorder="1" applyAlignment="1">
      <alignment horizontal="center" vertical="top"/>
    </xf>
    <xf numFmtId="9" fontId="42" fillId="0" borderId="38" xfId="3" applyFont="1" applyFill="1" applyBorder="1" applyAlignment="1">
      <alignment horizontal="center" vertical="center"/>
    </xf>
    <xf numFmtId="9" fontId="13" fillId="0" borderId="37" xfId="3" applyFont="1" applyFill="1" applyBorder="1" applyAlignment="1">
      <alignment horizontal="center" vertical="center"/>
    </xf>
    <xf numFmtId="43" fontId="42" fillId="0" borderId="31" xfId="11" applyFont="1" applyFill="1" applyBorder="1" applyAlignment="1">
      <alignment horizontal="center" vertical="center"/>
    </xf>
    <xf numFmtId="43" fontId="42" fillId="0" borderId="27" xfId="11" applyFont="1" applyFill="1" applyBorder="1" applyAlignment="1">
      <alignment horizontal="center" vertical="center"/>
    </xf>
    <xf numFmtId="43" fontId="49" fillId="0" borderId="31" xfId="11" applyFont="1" applyFill="1" applyBorder="1" applyAlignment="1">
      <alignment horizontal="center" vertical="center"/>
    </xf>
    <xf numFmtId="164" fontId="13" fillId="0" borderId="44" xfId="20" applyNumberFormat="1" applyFont="1" applyBorder="1" applyAlignment="1">
      <alignment horizontal="right" vertical="center"/>
    </xf>
    <xf numFmtId="0" fontId="26" fillId="0" borderId="0" xfId="19" applyFont="1" applyAlignment="1">
      <alignment vertical="center"/>
    </xf>
    <xf numFmtId="0" fontId="27" fillId="0" borderId="0" xfId="19" applyFont="1" applyAlignment="1">
      <alignment vertical="center"/>
    </xf>
    <xf numFmtId="164" fontId="26" fillId="0" borderId="9" xfId="23" applyNumberFormat="1" applyFont="1" applyBorder="1" applyAlignment="1">
      <alignment vertical="center"/>
    </xf>
    <xf numFmtId="164" fontId="28" fillId="13" borderId="102" xfId="23" applyNumberFormat="1" applyFont="1" applyFill="1" applyBorder="1" applyAlignment="1">
      <alignment horizontal="left" vertical="center"/>
    </xf>
    <xf numFmtId="164" fontId="28" fillId="13" borderId="102" xfId="23" applyNumberFormat="1" applyFont="1" applyFill="1" applyBorder="1" applyAlignment="1">
      <alignment horizontal="center" vertical="center"/>
    </xf>
    <xf numFmtId="164" fontId="28" fillId="13" borderId="103" xfId="23" applyNumberFormat="1" applyFont="1" applyFill="1" applyBorder="1" applyAlignment="1">
      <alignment horizontal="center" vertical="center"/>
    </xf>
    <xf numFmtId="164" fontId="28" fillId="13" borderId="39" xfId="23" applyNumberFormat="1" applyFont="1" applyFill="1" applyBorder="1" applyAlignment="1">
      <alignment horizontal="center" vertical="center"/>
    </xf>
    <xf numFmtId="164" fontId="28" fillId="13" borderId="104" xfId="23" applyNumberFormat="1" applyFont="1" applyFill="1" applyBorder="1" applyAlignment="1">
      <alignment horizontal="left" vertical="center"/>
    </xf>
    <xf numFmtId="164" fontId="29" fillId="0" borderId="20" xfId="23" applyNumberFormat="1" applyFont="1" applyBorder="1" applyAlignment="1">
      <alignment horizontal="left" vertical="center"/>
    </xf>
    <xf numFmtId="164" fontId="29" fillId="0" borderId="20" xfId="23" applyNumberFormat="1" applyFont="1" applyBorder="1" applyAlignment="1">
      <alignment horizontal="right" vertical="center"/>
    </xf>
    <xf numFmtId="164" fontId="29" fillId="0" borderId="21" xfId="23" applyNumberFormat="1" applyFont="1" applyBorder="1" applyAlignment="1">
      <alignment horizontal="right" vertical="center"/>
    </xf>
    <xf numFmtId="164" fontId="29" fillId="0" borderId="0" xfId="23" applyNumberFormat="1" applyFont="1" applyBorder="1" applyAlignment="1">
      <alignment horizontal="right" vertical="center"/>
    </xf>
    <xf numFmtId="164" fontId="29" fillId="0" borderId="20" xfId="23" applyNumberFormat="1" applyFont="1" applyBorder="1" applyAlignment="1">
      <alignment vertical="center"/>
    </xf>
    <xf numFmtId="0" fontId="12" fillId="4" borderId="85" xfId="12" applyFont="1" applyFill="1" applyBorder="1" applyAlignment="1">
      <alignment vertical="top"/>
    </xf>
    <xf numFmtId="0" fontId="13" fillId="0" borderId="49" xfId="0" applyFont="1" applyBorder="1" applyAlignment="1">
      <alignment horizontal="left" vertical="center"/>
    </xf>
    <xf numFmtId="0" fontId="43" fillId="17" borderId="67" xfId="15" applyFont="1" applyFill="1" applyBorder="1" applyAlignment="1">
      <alignment horizontal="center" vertical="center"/>
    </xf>
    <xf numFmtId="43" fontId="13" fillId="0" borderId="49" xfId="11" applyFont="1" applyFill="1" applyBorder="1" applyAlignment="1">
      <alignment horizontal="left" vertical="center"/>
    </xf>
    <xf numFmtId="43" fontId="13" fillId="0" borderId="81" xfId="1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top"/>
    </xf>
    <xf numFmtId="164" fontId="20" fillId="9" borderId="6" xfId="1" applyNumberFormat="1" applyFont="1" applyFill="1" applyBorder="1" applyAlignment="1">
      <alignment horizontal="center" vertical="top"/>
    </xf>
    <xf numFmtId="164" fontId="15" fillId="9" borderId="19" xfId="1" applyNumberFormat="1" applyFont="1" applyFill="1" applyBorder="1" applyAlignment="1">
      <alignment horizontal="center" vertical="top"/>
    </xf>
    <xf numFmtId="164" fontId="15" fillId="4" borderId="13" xfId="1" applyNumberFormat="1" applyFont="1" applyFill="1" applyBorder="1" applyAlignment="1">
      <alignment horizontal="center" vertical="top"/>
    </xf>
    <xf numFmtId="43" fontId="15" fillId="4" borderId="13" xfId="1" applyFont="1" applyFill="1" applyBorder="1" applyAlignment="1">
      <alignment horizontal="center" vertical="top"/>
    </xf>
    <xf numFmtId="164" fontId="15" fillId="4" borderId="35" xfId="1" applyNumberFormat="1" applyFont="1" applyFill="1" applyBorder="1" applyAlignment="1">
      <alignment horizontal="center" vertical="top"/>
    </xf>
    <xf numFmtId="164" fontId="20" fillId="9" borderId="18" xfId="1" applyNumberFormat="1" applyFont="1" applyFill="1" applyBorder="1" applyAlignment="1">
      <alignment horizontal="center" vertical="top"/>
    </xf>
    <xf numFmtId="164" fontId="17" fillId="0" borderId="14" xfId="1" applyNumberFormat="1" applyFont="1" applyFill="1" applyBorder="1" applyAlignment="1">
      <alignment horizontal="center" vertical="top"/>
    </xf>
    <xf numFmtId="168" fontId="13" fillId="0" borderId="38" xfId="11" applyNumberFormat="1" applyFont="1" applyFill="1" applyBorder="1" applyAlignment="1">
      <alignment horizontal="right" vertical="center"/>
    </xf>
    <xf numFmtId="43" fontId="13" fillId="0" borderId="49" xfId="11" applyFont="1" applyFill="1" applyBorder="1" applyAlignment="1">
      <alignment vertical="center"/>
    </xf>
    <xf numFmtId="43" fontId="13" fillId="21" borderId="49" xfId="11" applyFont="1" applyFill="1" applyBorder="1" applyAlignment="1">
      <alignment vertical="center"/>
    </xf>
    <xf numFmtId="43" fontId="13" fillId="21" borderId="83" xfId="11" applyFont="1" applyFill="1" applyBorder="1" applyAlignment="1">
      <alignment vertical="center"/>
    </xf>
    <xf numFmtId="0" fontId="44" fillId="0" borderId="58" xfId="15" applyFont="1" applyBorder="1"/>
    <xf numFmtId="0" fontId="43" fillId="17" borderId="67" xfId="15" applyFont="1" applyFill="1" applyBorder="1" applyAlignment="1">
      <alignment vertical="center"/>
    </xf>
    <xf numFmtId="164" fontId="13" fillId="0" borderId="95" xfId="20" applyNumberFormat="1" applyFont="1" applyBorder="1" applyAlignment="1">
      <alignment horizontal="right" vertical="center"/>
    </xf>
    <xf numFmtId="168" fontId="37" fillId="0" borderId="0" xfId="15" applyNumberFormat="1" applyFont="1"/>
    <xf numFmtId="0" fontId="58" fillId="8" borderId="69" xfId="15" applyFont="1" applyFill="1" applyBorder="1" applyAlignment="1">
      <alignment horizontal="center" vertical="center"/>
    </xf>
    <xf numFmtId="0" fontId="58" fillId="8" borderId="115" xfId="15" applyFont="1" applyFill="1" applyBorder="1" applyAlignment="1">
      <alignment horizontal="center" vertical="center"/>
    </xf>
    <xf numFmtId="0" fontId="58" fillId="7" borderId="114" xfId="15" applyFont="1" applyFill="1" applyBorder="1" applyAlignment="1">
      <alignment horizontal="center" vertical="center"/>
    </xf>
    <xf numFmtId="0" fontId="58" fillId="7" borderId="115" xfId="15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left" vertical="top" wrapText="1"/>
    </xf>
    <xf numFmtId="164" fontId="49" fillId="2" borderId="0" xfId="1" applyNumberFormat="1" applyFont="1" applyFill="1" applyBorder="1" applyAlignment="1">
      <alignment horizontal="center" vertical="center"/>
    </xf>
    <xf numFmtId="164" fontId="4" fillId="2" borderId="0" xfId="3" applyNumberFormat="1" applyFont="1" applyFill="1" applyBorder="1" applyAlignment="1">
      <alignment horizontal="center" vertical="top"/>
    </xf>
    <xf numFmtId="9" fontId="4" fillId="2" borderId="0" xfId="3" applyFont="1" applyFill="1" applyBorder="1" applyAlignment="1">
      <alignment horizontal="right" vertical="top"/>
    </xf>
    <xf numFmtId="164" fontId="13" fillId="0" borderId="0" xfId="11" applyNumberFormat="1" applyFont="1" applyFill="1" applyBorder="1" applyAlignment="1">
      <alignment horizontal="right" vertical="center"/>
    </xf>
    <xf numFmtId="0" fontId="37" fillId="0" borderId="0" xfId="15" applyFont="1" applyBorder="1"/>
    <xf numFmtId="0" fontId="12" fillId="4" borderId="125" xfId="12" applyFont="1" applyFill="1" applyBorder="1" applyAlignment="1">
      <alignment vertical="top"/>
    </xf>
    <xf numFmtId="43" fontId="13" fillId="0" borderId="10" xfId="11" applyFont="1" applyFill="1" applyBorder="1" applyAlignment="1">
      <alignment horizontal="left" vertical="center"/>
    </xf>
    <xf numFmtId="164" fontId="29" fillId="0" borderId="20" xfId="1" applyNumberFormat="1" applyFont="1" applyBorder="1" applyAlignment="1">
      <alignment horizontal="right" vertical="center"/>
    </xf>
    <xf numFmtId="164" fontId="29" fillId="0" borderId="21" xfId="1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horizontal="right" vertical="center"/>
    </xf>
    <xf numFmtId="164" fontId="29" fillId="0" borderId="102" xfId="1" applyNumberFormat="1" applyFont="1" applyBorder="1" applyAlignment="1">
      <alignment horizontal="right" vertical="center"/>
    </xf>
    <xf numFmtId="164" fontId="29" fillId="0" borderId="103" xfId="1" applyNumberFormat="1" applyFont="1" applyBorder="1" applyAlignment="1">
      <alignment horizontal="right" vertical="center"/>
    </xf>
    <xf numFmtId="164" fontId="29" fillId="0" borderId="39" xfId="1" applyNumberFormat="1" applyFont="1" applyBorder="1" applyAlignment="1">
      <alignment horizontal="right" vertical="center"/>
    </xf>
    <xf numFmtId="164" fontId="29" fillId="0" borderId="106" xfId="1" applyNumberFormat="1" applyFont="1" applyBorder="1" applyAlignment="1">
      <alignment horizontal="right" vertical="center"/>
    </xf>
    <xf numFmtId="164" fontId="29" fillId="0" borderId="107" xfId="1" applyNumberFormat="1" applyFont="1" applyBorder="1" applyAlignment="1">
      <alignment horizontal="right" vertical="center"/>
    </xf>
    <xf numFmtId="164" fontId="29" fillId="0" borderId="40" xfId="1" applyNumberFormat="1" applyFont="1" applyBorder="1" applyAlignment="1">
      <alignment horizontal="right" vertical="center"/>
    </xf>
    <xf numFmtId="164" fontId="29" fillId="0" borderId="20" xfId="1" applyNumberFormat="1" applyFont="1" applyBorder="1" applyAlignment="1">
      <alignment vertical="center"/>
    </xf>
    <xf numFmtId="164" fontId="29" fillId="0" borderId="21" xfId="1" applyNumberFormat="1" applyFont="1" applyBorder="1" applyAlignment="1">
      <alignment vertical="center"/>
    </xf>
    <xf numFmtId="164" fontId="29" fillId="0" borderId="0" xfId="1" applyNumberFormat="1" applyFont="1" applyBorder="1" applyAlignment="1">
      <alignment vertical="center"/>
    </xf>
    <xf numFmtId="164" fontId="29" fillId="0" borderId="104" xfId="1" applyNumberFormat="1" applyFont="1" applyBorder="1" applyAlignment="1">
      <alignment horizontal="right" vertical="center"/>
    </xf>
    <xf numFmtId="164" fontId="29" fillId="0" borderId="105" xfId="1" applyNumberFormat="1" applyFont="1" applyBorder="1" applyAlignment="1">
      <alignment horizontal="right" vertical="center"/>
    </xf>
    <xf numFmtId="164" fontId="29" fillId="0" borderId="53" xfId="1" applyNumberFormat="1" applyFont="1" applyBorder="1" applyAlignment="1">
      <alignment horizontal="right" vertical="center"/>
    </xf>
    <xf numFmtId="164" fontId="28" fillId="4" borderId="25" xfId="23" applyNumberFormat="1" applyFont="1" applyFill="1" applyBorder="1" applyAlignment="1">
      <alignment horizontal="center" vertical="center"/>
    </xf>
    <xf numFmtId="164" fontId="28" fillId="4" borderId="26" xfId="23" applyNumberFormat="1" applyFont="1" applyFill="1" applyBorder="1" applyAlignment="1">
      <alignment horizontal="center" vertical="center"/>
    </xf>
    <xf numFmtId="164" fontId="55" fillId="4" borderId="27" xfId="23" applyNumberFormat="1" applyFont="1" applyFill="1" applyBorder="1" applyAlignment="1">
      <alignment horizontal="center" vertical="center"/>
    </xf>
    <xf numFmtId="0" fontId="54" fillId="4" borderId="0" xfId="19" applyFont="1" applyFill="1" applyAlignment="1"/>
    <xf numFmtId="164" fontId="28" fillId="4" borderId="25" xfId="23" applyNumberFormat="1" applyFont="1" applyFill="1" applyBorder="1" applyAlignment="1">
      <alignment horizontal="left" vertical="center"/>
    </xf>
    <xf numFmtId="164" fontId="28" fillId="4" borderId="25" xfId="1" applyNumberFormat="1" applyFont="1" applyFill="1" applyBorder="1" applyAlignment="1">
      <alignment horizontal="right" vertical="center"/>
    </xf>
    <xf numFmtId="164" fontId="28" fillId="4" borderId="26" xfId="1" applyNumberFormat="1" applyFont="1" applyFill="1" applyBorder="1" applyAlignment="1">
      <alignment horizontal="right" vertical="center"/>
    </xf>
    <xf numFmtId="164" fontId="28" fillId="4" borderId="27" xfId="1" applyNumberFormat="1" applyFont="1" applyFill="1" applyBorder="1" applyAlignment="1">
      <alignment horizontal="right" vertical="center"/>
    </xf>
    <xf numFmtId="164" fontId="25" fillId="0" borderId="0" xfId="19" applyNumberFormat="1"/>
    <xf numFmtId="0" fontId="57" fillId="0" borderId="0" xfId="15" applyFont="1" applyBorder="1" applyAlignment="1">
      <alignment horizontal="center"/>
    </xf>
    <xf numFmtId="0" fontId="37" fillId="2" borderId="0" xfId="15" applyFont="1" applyFill="1"/>
    <xf numFmtId="0" fontId="12" fillId="2" borderId="0" xfId="12" applyFont="1" applyFill="1" applyBorder="1" applyAlignment="1">
      <alignment vertical="top"/>
    </xf>
    <xf numFmtId="9" fontId="12" fillId="2" borderId="0" xfId="3" applyFont="1" applyFill="1" applyBorder="1" applyAlignment="1">
      <alignment horizontal="center" vertical="top"/>
    </xf>
    <xf numFmtId="43" fontId="13" fillId="0" borderId="0" xfId="11" applyFont="1" applyFill="1" applyBorder="1" applyAlignment="1">
      <alignment vertical="center"/>
    </xf>
    <xf numFmtId="164" fontId="12" fillId="2" borderId="0" xfId="11" applyNumberFormat="1" applyFont="1" applyFill="1" applyBorder="1" applyAlignment="1">
      <alignment horizontal="right" vertical="top"/>
    </xf>
    <xf numFmtId="0" fontId="43" fillId="15" borderId="61" xfId="15" applyFont="1" applyFill="1" applyBorder="1" applyAlignment="1">
      <alignment vertical="center"/>
    </xf>
    <xf numFmtId="0" fontId="43" fillId="15" borderId="69" xfId="15" applyFont="1" applyFill="1" applyBorder="1" applyAlignment="1">
      <alignment horizontal="center" vertical="center"/>
    </xf>
    <xf numFmtId="164" fontId="13" fillId="0" borderId="49" xfId="23" applyNumberFormat="1" applyFont="1" applyBorder="1" applyAlignment="1">
      <alignment horizontal="left" vertical="center"/>
    </xf>
    <xf numFmtId="164" fontId="13" fillId="0" borderId="108" xfId="23" applyNumberFormat="1" applyFont="1" applyBorder="1" applyAlignment="1">
      <alignment horizontal="right" vertical="center"/>
    </xf>
    <xf numFmtId="164" fontId="13" fillId="0" borderId="38" xfId="23" applyNumberFormat="1" applyFont="1" applyBorder="1" applyAlignment="1">
      <alignment horizontal="right" vertical="center"/>
    </xf>
    <xf numFmtId="164" fontId="13" fillId="0" borderId="56" xfId="23" applyNumberFormat="1" applyFont="1" applyBorder="1" applyAlignment="1">
      <alignment horizontal="left" vertical="center"/>
    </xf>
    <xf numFmtId="164" fontId="13" fillId="0" borderId="109" xfId="23" applyNumberFormat="1" applyFont="1" applyBorder="1" applyAlignment="1">
      <alignment horizontal="right" vertical="center"/>
    </xf>
    <xf numFmtId="164" fontId="42" fillId="0" borderId="25" xfId="23" applyNumberFormat="1" applyFont="1" applyBorder="1" applyAlignment="1">
      <alignment horizontal="left" vertical="center"/>
    </xf>
    <xf numFmtId="164" fontId="42" fillId="0" borderId="31" xfId="23" applyNumberFormat="1" applyFont="1" applyBorder="1" applyAlignment="1">
      <alignment horizontal="right" vertical="center"/>
    </xf>
    <xf numFmtId="43" fontId="42" fillId="0" borderId="9" xfId="20" applyFont="1" applyFill="1" applyBorder="1"/>
    <xf numFmtId="0" fontId="42" fillId="13" borderId="56" xfId="0" applyFont="1" applyFill="1" applyBorder="1" applyAlignment="1">
      <alignment horizontal="left" vertical="center"/>
    </xf>
    <xf numFmtId="0" fontId="42" fillId="13" borderId="92" xfId="0" applyFont="1" applyFill="1" applyBorder="1" applyAlignment="1">
      <alignment horizontal="center" vertical="center"/>
    </xf>
    <xf numFmtId="0" fontId="42" fillId="13" borderId="93" xfId="0" applyFont="1" applyFill="1" applyBorder="1" applyAlignment="1">
      <alignment horizontal="center" vertical="center"/>
    </xf>
    <xf numFmtId="43" fontId="13" fillId="0" borderId="8" xfId="20" applyFont="1" applyFill="1" applyBorder="1" applyAlignment="1">
      <alignment horizontal="left" vertical="center"/>
    </xf>
    <xf numFmtId="43" fontId="13" fillId="0" borderId="8" xfId="20" applyFont="1" applyFill="1" applyBorder="1" applyAlignment="1">
      <alignment horizontal="right" vertical="center"/>
    </xf>
    <xf numFmtId="164" fontId="13" fillId="0" borderId="45" xfId="20" applyNumberFormat="1" applyFont="1" applyBorder="1" applyAlignment="1">
      <alignment horizontal="right" vertical="center"/>
    </xf>
    <xf numFmtId="0" fontId="13" fillId="0" borderId="94" xfId="0" applyFont="1" applyBorder="1" applyAlignment="1">
      <alignment horizontal="left" vertical="center"/>
    </xf>
    <xf numFmtId="164" fontId="13" fillId="0" borderId="46" xfId="20" applyNumberFormat="1" applyFont="1" applyBorder="1" applyAlignment="1">
      <alignment horizontal="right" vertical="center"/>
    </xf>
    <xf numFmtId="164" fontId="13" fillId="0" borderId="81" xfId="11" applyNumberFormat="1" applyFont="1" applyFill="1" applyBorder="1" applyAlignment="1">
      <alignment horizontal="left" vertical="center"/>
    </xf>
    <xf numFmtId="0" fontId="48" fillId="2" borderId="20" xfId="0" applyFont="1" applyFill="1" applyBorder="1" applyAlignment="1">
      <alignment vertical="top" wrapText="1"/>
    </xf>
    <xf numFmtId="0" fontId="48" fillId="2" borderId="0" xfId="0" applyFont="1" applyFill="1" applyBorder="1" applyAlignment="1">
      <alignment vertical="top" wrapText="1"/>
    </xf>
    <xf numFmtId="0" fontId="48" fillId="2" borderId="21" xfId="0" applyFont="1" applyFill="1" applyBorder="1" applyAlignment="1">
      <alignment vertical="top" wrapText="1"/>
    </xf>
    <xf numFmtId="0" fontId="40" fillId="2" borderId="0" xfId="0" applyFont="1" applyFill="1" applyBorder="1" applyAlignment="1">
      <alignment vertical="top" wrapText="1"/>
    </xf>
    <xf numFmtId="0" fontId="40" fillId="2" borderId="21" xfId="0" applyFont="1" applyFill="1" applyBorder="1" applyAlignment="1">
      <alignment vertical="top" wrapText="1"/>
    </xf>
    <xf numFmtId="164" fontId="20" fillId="10" borderId="32" xfId="1" applyNumberFormat="1" applyFont="1" applyFill="1" applyBorder="1" applyAlignment="1">
      <alignment vertical="top"/>
    </xf>
    <xf numFmtId="164" fontId="20" fillId="10" borderId="33" xfId="1" applyNumberFormat="1" applyFont="1" applyFill="1" applyBorder="1" applyAlignment="1">
      <alignment vertical="top"/>
    </xf>
    <xf numFmtId="164" fontId="20" fillId="10" borderId="34" xfId="1" applyNumberFormat="1" applyFont="1" applyFill="1" applyBorder="1" applyAlignment="1">
      <alignment vertical="top"/>
    </xf>
    <xf numFmtId="164" fontId="15" fillId="4" borderId="15" xfId="1" applyNumberFormat="1" applyFont="1" applyFill="1" applyBorder="1" applyAlignment="1">
      <alignment vertical="top"/>
    </xf>
    <xf numFmtId="164" fontId="41" fillId="4" borderId="15" xfId="1" applyNumberFormat="1" applyFont="1" applyFill="1" applyBorder="1" applyAlignment="1">
      <alignment vertical="top"/>
    </xf>
    <xf numFmtId="164" fontId="15" fillId="4" borderId="36" xfId="1" applyNumberFormat="1" applyFont="1" applyFill="1" applyBorder="1" applyAlignment="1">
      <alignment vertical="top"/>
    </xf>
    <xf numFmtId="164" fontId="20" fillId="9" borderId="32" xfId="1" applyNumberFormat="1" applyFont="1" applyFill="1" applyBorder="1" applyAlignment="1">
      <alignment vertical="top"/>
    </xf>
    <xf numFmtId="164" fontId="20" fillId="9" borderId="33" xfId="1" applyNumberFormat="1" applyFont="1" applyFill="1" applyBorder="1" applyAlignment="1">
      <alignment vertical="top"/>
    </xf>
    <xf numFmtId="164" fontId="15" fillId="9" borderId="34" xfId="1" applyNumberFormat="1" applyFont="1" applyFill="1" applyBorder="1" applyAlignment="1">
      <alignment vertical="top"/>
    </xf>
    <xf numFmtId="164" fontId="17" fillId="0" borderId="14" xfId="1" applyNumberFormat="1" applyFont="1" applyFill="1" applyBorder="1" applyAlignment="1">
      <alignment vertical="top"/>
    </xf>
    <xf numFmtId="164" fontId="20" fillId="9" borderId="19" xfId="1" applyNumberFormat="1" applyFont="1" applyFill="1" applyBorder="1" applyAlignment="1">
      <alignment horizontal="center" vertical="top"/>
    </xf>
    <xf numFmtId="43" fontId="15" fillId="4" borderId="85" xfId="1" applyFont="1" applyFill="1" applyBorder="1" applyAlignment="1">
      <alignment horizontal="center" vertical="top"/>
    </xf>
    <xf numFmtId="164" fontId="20" fillId="8" borderId="18" xfId="1" applyNumberFormat="1" applyFont="1" applyFill="1" applyBorder="1" applyAlignment="1">
      <alignment horizontal="right" vertical="top"/>
    </xf>
    <xf numFmtId="168" fontId="20" fillId="8" borderId="6" xfId="1" applyNumberFormat="1" applyFont="1" applyFill="1" applyBorder="1" applyAlignment="1">
      <alignment horizontal="right" vertical="top"/>
    </xf>
    <xf numFmtId="168" fontId="15" fillId="8" borderId="85" xfId="1" applyNumberFormat="1" applyFont="1" applyFill="1" applyBorder="1" applyAlignment="1">
      <alignment horizontal="right" vertical="top"/>
    </xf>
    <xf numFmtId="164" fontId="20" fillId="9" borderId="32" xfId="1" applyNumberFormat="1" applyFont="1" applyFill="1" applyBorder="1" applyAlignment="1">
      <alignment horizontal="right" vertical="top"/>
    </xf>
    <xf numFmtId="164" fontId="20" fillId="9" borderId="33" xfId="1" applyNumberFormat="1" applyFont="1" applyFill="1" applyBorder="1" applyAlignment="1">
      <alignment horizontal="right" vertical="top"/>
    </xf>
    <xf numFmtId="164" fontId="15" fillId="9" borderId="86" xfId="1" applyNumberFormat="1" applyFont="1" applyFill="1" applyBorder="1" applyAlignment="1">
      <alignment horizontal="right" vertical="top"/>
    </xf>
    <xf numFmtId="0" fontId="13" fillId="0" borderId="49" xfId="0" applyFont="1" applyBorder="1" applyAlignment="1">
      <alignment horizontal="left" vertical="center"/>
    </xf>
    <xf numFmtId="43" fontId="44" fillId="0" borderId="0" xfId="1" applyFont="1"/>
    <xf numFmtId="43" fontId="44" fillId="0" borderId="0" xfId="15" applyNumberFormat="1" applyFont="1"/>
    <xf numFmtId="0" fontId="37" fillId="0" borderId="0" xfId="15" applyFont="1" applyBorder="1" applyAlignment="1">
      <alignment horizontal="left" indent="1"/>
    </xf>
    <xf numFmtId="0" fontId="44" fillId="0" borderId="0" xfId="15" applyFont="1" applyBorder="1" applyAlignment="1">
      <alignment horizontal="left" indent="1"/>
    </xf>
    <xf numFmtId="0" fontId="37" fillId="0" borderId="0" xfId="15" applyFont="1" applyFill="1" applyBorder="1" applyAlignment="1">
      <alignment horizontal="left" indent="1"/>
    </xf>
    <xf numFmtId="0" fontId="37" fillId="0" borderId="0" xfId="15" applyFont="1" applyFill="1"/>
    <xf numFmtId="0" fontId="63" fillId="0" borderId="0" xfId="15" applyFont="1"/>
    <xf numFmtId="0" fontId="64" fillId="0" borderId="0" xfId="15" applyFont="1"/>
    <xf numFmtId="0" fontId="63" fillId="0" borderId="0" xfId="15" applyFont="1" applyFill="1"/>
    <xf numFmtId="43" fontId="65" fillId="0" borderId="0" xfId="11" applyFont="1" applyFill="1" applyAlignment="1"/>
    <xf numFmtId="0" fontId="66" fillId="0" borderId="0" xfId="12" applyFont="1" applyFill="1" applyAlignment="1"/>
    <xf numFmtId="43" fontId="65" fillId="0" borderId="0" xfId="11" applyFont="1" applyFill="1"/>
    <xf numFmtId="0" fontId="48" fillId="2" borderId="22" xfId="0" applyFont="1" applyFill="1" applyBorder="1" applyAlignment="1">
      <alignment vertical="top" wrapText="1"/>
    </xf>
    <xf numFmtId="0" fontId="48" fillId="2" borderId="23" xfId="0" applyFont="1" applyFill="1" applyBorder="1" applyAlignment="1">
      <alignment vertical="top" wrapText="1"/>
    </xf>
    <xf numFmtId="0" fontId="48" fillId="2" borderId="24" xfId="0" applyFont="1" applyFill="1" applyBorder="1" applyAlignment="1">
      <alignment vertical="top" wrapText="1"/>
    </xf>
    <xf numFmtId="0" fontId="40" fillId="2" borderId="20" xfId="0" applyFont="1" applyFill="1" applyBorder="1" applyAlignment="1">
      <alignment vertical="top" wrapText="1"/>
    </xf>
    <xf numFmtId="0" fontId="47" fillId="3" borderId="13" xfId="0" applyFont="1" applyFill="1" applyBorder="1" applyAlignment="1">
      <alignment vertical="top"/>
    </xf>
    <xf numFmtId="0" fontId="20" fillId="2" borderId="0" xfId="0" applyFont="1" applyFill="1" applyBorder="1" applyAlignment="1">
      <alignment horizontal="left" vertical="top"/>
    </xf>
    <xf numFmtId="0" fontId="20" fillId="2" borderId="6" xfId="0" applyFont="1" applyFill="1" applyBorder="1" applyAlignment="1">
      <alignment horizontal="left" vertical="top"/>
    </xf>
    <xf numFmtId="164" fontId="67" fillId="0" borderId="65" xfId="11" applyNumberFormat="1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left" vertical="top"/>
    </xf>
    <xf numFmtId="0" fontId="20" fillId="2" borderId="7" xfId="0" applyFont="1" applyFill="1" applyBorder="1" applyAlignment="1">
      <alignment horizontal="left" vertical="top"/>
    </xf>
    <xf numFmtId="164" fontId="67" fillId="0" borderId="38" xfId="11" applyNumberFormat="1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left" vertical="top"/>
    </xf>
    <xf numFmtId="164" fontId="20" fillId="2" borderId="4" xfId="1" applyNumberFormat="1" applyFont="1" applyFill="1" applyBorder="1" applyAlignment="1">
      <alignment horizontal="right" vertical="top"/>
    </xf>
    <xf numFmtId="0" fontId="20" fillId="2" borderId="17" xfId="0" applyFont="1" applyFill="1" applyBorder="1" applyAlignment="1">
      <alignment horizontal="left" vertical="top"/>
    </xf>
    <xf numFmtId="164" fontId="20" fillId="2" borderId="30" xfId="1" applyNumberFormat="1" applyFont="1" applyFill="1" applyBorder="1" applyAlignment="1">
      <alignment horizontal="right" vertical="top"/>
    </xf>
    <xf numFmtId="164" fontId="20" fillId="2" borderId="16" xfId="1" applyNumberFormat="1" applyFont="1" applyFill="1" applyBorder="1" applyAlignment="1">
      <alignment horizontal="right" vertical="top"/>
    </xf>
    <xf numFmtId="0" fontId="15" fillId="4" borderId="13" xfId="0" applyFont="1" applyFill="1" applyBorder="1" applyAlignment="1">
      <alignment vertical="top"/>
    </xf>
    <xf numFmtId="0" fontId="15" fillId="2" borderId="18" xfId="0" applyFont="1" applyFill="1" applyBorder="1" applyAlignment="1">
      <alignment horizontal="left" vertical="top"/>
    </xf>
    <xf numFmtId="0" fontId="15" fillId="4" borderId="13" xfId="0" applyFont="1" applyFill="1" applyBorder="1" applyAlignment="1">
      <alignment horizontal="left" vertical="top"/>
    </xf>
    <xf numFmtId="0" fontId="15" fillId="4" borderId="1" xfId="0" applyFont="1" applyFill="1" applyBorder="1" applyAlignment="1">
      <alignment horizontal="left" vertical="top"/>
    </xf>
    <xf numFmtId="0" fontId="56" fillId="22" borderId="20" xfId="15" applyFont="1" applyFill="1" applyBorder="1" applyAlignment="1">
      <alignment horizontal="center"/>
    </xf>
    <xf numFmtId="43" fontId="13" fillId="0" borderId="81" xfId="11" applyFont="1" applyFill="1" applyBorder="1" applyAlignment="1">
      <alignment vertical="center"/>
    </xf>
    <xf numFmtId="164" fontId="13" fillId="0" borderId="50" xfId="1" applyNumberFormat="1" applyFont="1" applyFill="1" applyBorder="1" applyAlignment="1">
      <alignment horizontal="right" vertical="center"/>
    </xf>
    <xf numFmtId="0" fontId="37" fillId="0" borderId="0" xfId="15" applyFont="1" applyAlignment="1">
      <alignment horizontal="left"/>
    </xf>
    <xf numFmtId="0" fontId="63" fillId="0" borderId="0" xfId="15" applyFont="1" applyAlignment="1">
      <alignment horizontal="left"/>
    </xf>
    <xf numFmtId="0" fontId="37" fillId="2" borderId="0" xfId="15" applyFont="1" applyFill="1" applyAlignment="1">
      <alignment horizontal="left"/>
    </xf>
    <xf numFmtId="0" fontId="68" fillId="11" borderId="26" xfId="15" applyFont="1" applyFill="1" applyBorder="1"/>
    <xf numFmtId="0" fontId="68" fillId="11" borderId="27" xfId="15" applyFont="1" applyFill="1" applyBorder="1"/>
    <xf numFmtId="0" fontId="71" fillId="3" borderId="14" xfId="0" applyFont="1" applyFill="1" applyBorder="1" applyAlignment="1">
      <alignment vertical="top"/>
    </xf>
    <xf numFmtId="0" fontId="71" fillId="3" borderId="15" xfId="0" applyFont="1" applyFill="1" applyBorder="1" applyAlignment="1">
      <alignment vertical="top"/>
    </xf>
    <xf numFmtId="43" fontId="72" fillId="4" borderId="86" xfId="1" applyFont="1" applyFill="1" applyBorder="1" applyAlignment="1">
      <alignment horizontal="left" vertical="top"/>
    </xf>
    <xf numFmtId="0" fontId="72" fillId="4" borderId="15" xfId="0" applyFont="1" applyFill="1" applyBorder="1" applyAlignment="1">
      <alignment horizontal="left" vertical="top"/>
    </xf>
    <xf numFmtId="164" fontId="70" fillId="2" borderId="6" xfId="0" applyNumberFormat="1" applyFont="1" applyFill="1" applyBorder="1" applyAlignment="1">
      <alignment horizontal="left" vertical="top"/>
    </xf>
    <xf numFmtId="43" fontId="70" fillId="0" borderId="6" xfId="0" applyNumberFormat="1" applyFont="1" applyFill="1" applyBorder="1" applyAlignment="1">
      <alignment horizontal="left" vertical="top"/>
    </xf>
    <xf numFmtId="164" fontId="70" fillId="2" borderId="6" xfId="1" applyNumberFormat="1" applyFont="1" applyFill="1" applyBorder="1" applyAlignment="1">
      <alignment horizontal="left" vertical="top"/>
    </xf>
    <xf numFmtId="164" fontId="70" fillId="2" borderId="7" xfId="1" applyNumberFormat="1" applyFont="1" applyFill="1" applyBorder="1" applyAlignment="1">
      <alignment horizontal="left" vertical="top"/>
    </xf>
    <xf numFmtId="164" fontId="70" fillId="7" borderId="13" xfId="1" applyNumberFormat="1" applyFont="1" applyFill="1" applyBorder="1" applyAlignment="1">
      <alignment horizontal="left" vertical="top"/>
    </xf>
    <xf numFmtId="164" fontId="70" fillId="2" borderId="13" xfId="1" applyNumberFormat="1" applyFont="1" applyFill="1" applyBorder="1" applyAlignment="1">
      <alignment horizontal="left" vertical="top"/>
    </xf>
    <xf numFmtId="164" fontId="70" fillId="7" borderId="87" xfId="1" applyNumberFormat="1" applyFont="1" applyFill="1" applyBorder="1" applyAlignment="1">
      <alignment horizontal="left" vertical="top"/>
    </xf>
    <xf numFmtId="164" fontId="70" fillId="2" borderId="130" xfId="1" applyNumberFormat="1" applyFont="1" applyFill="1" applyBorder="1" applyAlignment="1">
      <alignment horizontal="center" vertical="top"/>
    </xf>
    <xf numFmtId="43" fontId="70" fillId="0" borderId="130" xfId="0" applyNumberFormat="1" applyFont="1" applyFill="1" applyBorder="1" applyAlignment="1">
      <alignment horizontal="center" vertical="top"/>
    </xf>
    <xf numFmtId="164" fontId="70" fillId="2" borderId="131" xfId="1" applyNumberFormat="1" applyFont="1" applyFill="1" applyBorder="1" applyAlignment="1">
      <alignment horizontal="center" vertical="top"/>
    </xf>
    <xf numFmtId="164" fontId="70" fillId="2" borderId="132" xfId="1" applyNumberFormat="1" applyFont="1" applyFill="1" applyBorder="1" applyAlignment="1">
      <alignment horizontal="center" vertical="top"/>
    </xf>
    <xf numFmtId="0" fontId="71" fillId="3" borderId="13" xfId="0" applyFont="1" applyFill="1" applyBorder="1" applyAlignment="1">
      <alignment vertical="top"/>
    </xf>
    <xf numFmtId="0" fontId="72" fillId="25" borderId="12" xfId="1" applyNumberFormat="1" applyFont="1" applyFill="1" applyBorder="1" applyAlignment="1">
      <alignment horizontal="center" vertical="top"/>
    </xf>
    <xf numFmtId="9" fontId="72" fillId="25" borderId="12" xfId="3" applyFont="1" applyFill="1" applyBorder="1" applyAlignment="1">
      <alignment horizontal="center" vertical="top"/>
    </xf>
    <xf numFmtId="9" fontId="72" fillId="25" borderId="129" xfId="3" applyFont="1" applyFill="1" applyBorder="1" applyAlignment="1">
      <alignment horizontal="center" vertical="top"/>
    </xf>
    <xf numFmtId="0" fontId="70" fillId="2" borderId="129" xfId="1" applyNumberFormat="1" applyFont="1" applyFill="1" applyBorder="1" applyAlignment="1">
      <alignment horizontal="center" vertical="top"/>
    </xf>
    <xf numFmtId="0" fontId="70" fillId="2" borderId="12" xfId="0" applyNumberFormat="1" applyFont="1" applyFill="1" applyBorder="1" applyAlignment="1">
      <alignment horizontal="center" vertical="top"/>
    </xf>
    <xf numFmtId="0" fontId="70" fillId="2" borderId="12" xfId="1" applyNumberFormat="1" applyFont="1" applyFill="1" applyBorder="1" applyAlignment="1">
      <alignment horizontal="center" vertical="top"/>
    </xf>
    <xf numFmtId="9" fontId="70" fillId="0" borderId="12" xfId="3" applyFont="1" applyFill="1" applyBorder="1" applyAlignment="1">
      <alignment horizontal="center" vertical="top"/>
    </xf>
    <xf numFmtId="0" fontId="70" fillId="2" borderId="13" xfId="0" applyNumberFormat="1" applyFont="1" applyFill="1" applyBorder="1" applyAlignment="1">
      <alignment horizontal="center" vertical="top"/>
    </xf>
    <xf numFmtId="164" fontId="72" fillId="7" borderId="13" xfId="1" applyNumberFormat="1" applyFont="1" applyFill="1" applyBorder="1" applyAlignment="1">
      <alignment horizontal="right" vertical="top"/>
    </xf>
    <xf numFmtId="43" fontId="72" fillId="7" borderId="85" xfId="1" applyFont="1" applyFill="1" applyBorder="1" applyAlignment="1">
      <alignment horizontal="left" vertical="top"/>
    </xf>
    <xf numFmtId="43" fontId="72" fillId="7" borderId="13" xfId="1" applyFont="1" applyFill="1" applyBorder="1" applyAlignment="1">
      <alignment horizontal="center" vertical="top"/>
    </xf>
    <xf numFmtId="0" fontId="72" fillId="7" borderId="13" xfId="0" applyFont="1" applyFill="1" applyBorder="1" applyAlignment="1">
      <alignment horizontal="left" vertical="top"/>
    </xf>
    <xf numFmtId="0" fontId="72" fillId="7" borderId="12" xfId="1" applyNumberFormat="1" applyFont="1" applyFill="1" applyBorder="1" applyAlignment="1">
      <alignment horizontal="center" vertical="top"/>
    </xf>
    <xf numFmtId="9" fontId="72" fillId="7" borderId="12" xfId="3" applyFont="1" applyFill="1" applyBorder="1" applyAlignment="1">
      <alignment horizontal="center" vertical="top"/>
    </xf>
    <xf numFmtId="1" fontId="72" fillId="7" borderId="12" xfId="1" applyNumberFormat="1" applyFont="1" applyFill="1" applyBorder="1" applyAlignment="1">
      <alignment horizontal="center" vertical="top"/>
    </xf>
    <xf numFmtId="0" fontId="15" fillId="10" borderId="0" xfId="2" applyFont="1" applyFill="1" applyBorder="1" applyAlignment="1">
      <alignment vertical="top" wrapText="1"/>
    </xf>
    <xf numFmtId="43" fontId="15" fillId="4" borderId="12" xfId="1" applyFont="1" applyFill="1" applyBorder="1" applyAlignment="1">
      <alignment horizontal="center" vertical="top"/>
    </xf>
    <xf numFmtId="164" fontId="12" fillId="4" borderId="135" xfId="11" applyNumberFormat="1" applyFont="1" applyFill="1" applyBorder="1" applyAlignment="1">
      <alignment horizontal="center" vertical="top" wrapText="1"/>
    </xf>
    <xf numFmtId="164" fontId="12" fillId="4" borderId="136" xfId="11" applyNumberFormat="1" applyFont="1" applyFill="1" applyBorder="1" applyAlignment="1">
      <alignment horizontal="center" vertical="top" wrapText="1"/>
    </xf>
    <xf numFmtId="0" fontId="68" fillId="3" borderId="10" xfId="15" applyFont="1" applyFill="1" applyBorder="1" applyAlignment="1">
      <alignment horizontal="left"/>
    </xf>
    <xf numFmtId="0" fontId="68" fillId="3" borderId="11" xfId="15" applyFont="1" applyFill="1" applyBorder="1" applyAlignment="1">
      <alignment horizontal="left"/>
    </xf>
    <xf numFmtId="0" fontId="67" fillId="0" borderId="38" xfId="11" applyNumberFormat="1" applyFont="1" applyFill="1" applyBorder="1" applyAlignment="1">
      <alignment horizontal="left" vertical="center"/>
    </xf>
    <xf numFmtId="43" fontId="12" fillId="2" borderId="0" xfId="11" applyNumberFormat="1" applyFont="1" applyFill="1" applyBorder="1" applyAlignment="1">
      <alignment horizontal="right" vertical="top"/>
    </xf>
    <xf numFmtId="0" fontId="58" fillId="26" borderId="41" xfId="12" applyFont="1" applyFill="1" applyBorder="1" applyAlignment="1">
      <alignment vertical="top"/>
    </xf>
    <xf numFmtId="9" fontId="58" fillId="26" borderId="42" xfId="3" applyFont="1" applyFill="1" applyBorder="1" applyAlignment="1">
      <alignment horizontal="center" vertical="top"/>
    </xf>
    <xf numFmtId="0" fontId="58" fillId="26" borderId="44" xfId="12" applyFont="1" applyFill="1" applyBorder="1" applyAlignment="1">
      <alignment vertical="top"/>
    </xf>
    <xf numFmtId="164" fontId="58" fillId="26" borderId="8" xfId="11" applyNumberFormat="1" applyFont="1" applyFill="1" applyBorder="1" applyAlignment="1">
      <alignment horizontal="center" vertical="top"/>
    </xf>
    <xf numFmtId="164" fontId="58" fillId="26" borderId="45" xfId="11" applyNumberFormat="1" applyFont="1" applyFill="1" applyBorder="1" applyAlignment="1">
      <alignment horizontal="center" vertical="top"/>
    </xf>
    <xf numFmtId="0" fontId="58" fillId="26" borderId="46" xfId="12" applyFont="1" applyFill="1" applyBorder="1" applyAlignment="1">
      <alignment vertical="top"/>
    </xf>
    <xf numFmtId="164" fontId="12" fillId="4" borderId="13" xfId="11" applyNumberFormat="1" applyFont="1" applyFill="1" applyBorder="1" applyAlignment="1">
      <alignment horizontal="right" vertical="top"/>
    </xf>
    <xf numFmtId="0" fontId="75" fillId="26" borderId="140" xfId="15" applyFont="1" applyFill="1" applyBorder="1"/>
    <xf numFmtId="0" fontId="75" fillId="26" borderId="141" xfId="15" applyFont="1" applyFill="1" applyBorder="1" applyAlignment="1">
      <alignment horizontal="center"/>
    </xf>
    <xf numFmtId="0" fontId="75" fillId="26" borderId="98" xfId="15" applyFont="1" applyFill="1" applyBorder="1"/>
    <xf numFmtId="0" fontId="75" fillId="26" borderId="142" xfId="15" applyFont="1" applyFill="1" applyBorder="1" applyAlignment="1">
      <alignment horizontal="center"/>
    </xf>
    <xf numFmtId="0" fontId="76" fillId="2" borderId="0" xfId="0" applyFont="1" applyFill="1" applyBorder="1" applyAlignment="1">
      <alignment horizontal="left" vertical="top"/>
    </xf>
    <xf numFmtId="0" fontId="77" fillId="3" borderId="12" xfId="15" applyFont="1" applyFill="1" applyBorder="1" applyAlignment="1">
      <alignment horizontal="center" vertical="center"/>
    </xf>
    <xf numFmtId="0" fontId="78" fillId="2" borderId="0" xfId="15" applyFont="1" applyFill="1"/>
    <xf numFmtId="0" fontId="78" fillId="0" borderId="0" xfId="15" applyFont="1"/>
    <xf numFmtId="0" fontId="76" fillId="5" borderId="0" xfId="0" applyFont="1" applyFill="1" applyBorder="1" applyAlignment="1">
      <alignment horizontal="left" vertical="top"/>
    </xf>
    <xf numFmtId="43" fontId="72" fillId="7" borderId="29" xfId="1" applyFont="1" applyFill="1" applyBorder="1" applyAlignment="1">
      <alignment horizontal="center" vertical="top"/>
    </xf>
    <xf numFmtId="43" fontId="72" fillId="4" borderId="12" xfId="1" applyFont="1" applyFill="1" applyBorder="1" applyAlignment="1">
      <alignment horizontal="center" vertical="top"/>
    </xf>
    <xf numFmtId="43" fontId="72" fillId="7" borderId="12" xfId="1" applyFont="1" applyFill="1" applyBorder="1" applyAlignment="1">
      <alignment horizontal="center" vertical="top"/>
    </xf>
    <xf numFmtId="9" fontId="70" fillId="2" borderId="15" xfId="3" applyFont="1" applyFill="1" applyBorder="1" applyAlignment="1">
      <alignment horizontal="center" vertical="top"/>
    </xf>
    <xf numFmtId="9" fontId="22" fillId="2" borderId="55" xfId="3" applyFont="1" applyFill="1" applyBorder="1" applyAlignment="1">
      <alignment horizontal="center" vertical="top"/>
    </xf>
    <xf numFmtId="9" fontId="74" fillId="0" borderId="12" xfId="3" applyFont="1" applyFill="1" applyBorder="1" applyAlignment="1">
      <alignment vertical="center"/>
    </xf>
    <xf numFmtId="0" fontId="69" fillId="2" borderId="143" xfId="15" applyFont="1" applyFill="1" applyBorder="1" applyAlignment="1">
      <alignment horizontal="left" indent="1"/>
    </xf>
    <xf numFmtId="0" fontId="37" fillId="2" borderId="143" xfId="15" applyFont="1" applyFill="1" applyBorder="1"/>
    <xf numFmtId="2" fontId="22" fillId="2" borderId="0" xfId="0" applyNumberFormat="1" applyFont="1" applyFill="1" applyBorder="1" applyAlignment="1">
      <alignment horizontal="left" vertical="top"/>
    </xf>
    <xf numFmtId="0" fontId="40" fillId="2" borderId="20" xfId="0" applyFont="1" applyFill="1" applyBorder="1" applyAlignment="1">
      <alignment vertical="top"/>
    </xf>
    <xf numFmtId="0" fontId="40" fillId="2" borderId="0" xfId="0" applyFont="1" applyFill="1" applyBorder="1" applyAlignment="1">
      <alignment vertical="top"/>
    </xf>
    <xf numFmtId="0" fontId="40" fillId="2" borderId="21" xfId="0" applyFont="1" applyFill="1" applyBorder="1" applyAlignment="1">
      <alignment vertical="top"/>
    </xf>
    <xf numFmtId="0" fontId="22" fillId="15" borderId="0" xfId="0" applyFont="1" applyFill="1" applyBorder="1" applyAlignment="1">
      <alignment horizontal="left" vertical="top"/>
    </xf>
    <xf numFmtId="43" fontId="74" fillId="0" borderId="12" xfId="1" applyNumberFormat="1" applyFont="1" applyFill="1" applyBorder="1" applyAlignment="1">
      <alignment horizontal="center" vertical="center"/>
    </xf>
    <xf numFmtId="164" fontId="74" fillId="0" borderId="28" xfId="1" applyNumberFormat="1" applyFont="1" applyFill="1" applyBorder="1" applyAlignment="1">
      <alignment vertical="center"/>
    </xf>
    <xf numFmtId="1" fontId="37" fillId="0" borderId="0" xfId="15" applyNumberFormat="1" applyFont="1"/>
    <xf numFmtId="0" fontId="58" fillId="26" borderId="92" xfId="12" applyFont="1" applyFill="1" applyBorder="1" applyAlignment="1">
      <alignment vertical="top"/>
    </xf>
    <xf numFmtId="164" fontId="58" fillId="26" borderId="91" xfId="11" applyNumberFormat="1" applyFont="1" applyFill="1" applyBorder="1" applyAlignment="1">
      <alignment horizontal="center" vertical="top"/>
    </xf>
    <xf numFmtId="0" fontId="20" fillId="2" borderId="5" xfId="0" applyFont="1" applyFill="1" applyBorder="1" applyAlignment="1">
      <alignment horizontal="left" vertical="top"/>
    </xf>
    <xf numFmtId="0" fontId="20" fillId="2" borderId="29" xfId="0" applyFont="1" applyFill="1" applyBorder="1" applyAlignment="1">
      <alignment horizontal="left" vertical="top"/>
    </xf>
    <xf numFmtId="164" fontId="13" fillId="0" borderId="38" xfId="1" applyNumberFormat="1" applyFont="1" applyFill="1" applyBorder="1" applyAlignment="1">
      <alignment horizontal="right" vertical="center"/>
    </xf>
    <xf numFmtId="164" fontId="13" fillId="0" borderId="37" xfId="1" applyNumberFormat="1" applyFont="1" applyFill="1" applyBorder="1" applyAlignment="1">
      <alignment horizontal="right" vertical="center"/>
    </xf>
    <xf numFmtId="164" fontId="13" fillId="0" borderId="44" xfId="1" applyNumberFormat="1" applyFont="1" applyBorder="1" applyAlignment="1">
      <alignment horizontal="right" vertical="center"/>
    </xf>
    <xf numFmtId="164" fontId="13" fillId="0" borderId="49" xfId="1" applyNumberFormat="1" applyFont="1" applyBorder="1" applyAlignment="1">
      <alignment horizontal="right" vertical="center"/>
    </xf>
    <xf numFmtId="164" fontId="13" fillId="0" borderId="49" xfId="1" applyNumberFormat="1" applyFont="1" applyFill="1" applyBorder="1" applyAlignment="1">
      <alignment horizontal="right" vertical="center"/>
    </xf>
    <xf numFmtId="164" fontId="12" fillId="4" borderId="12" xfId="1" applyNumberFormat="1" applyFont="1" applyFill="1" applyBorder="1" applyAlignment="1">
      <alignment horizontal="right" vertical="top"/>
    </xf>
    <xf numFmtId="164" fontId="42" fillId="0" borderId="38" xfId="1" applyNumberFormat="1" applyFont="1" applyFill="1" applyBorder="1" applyAlignment="1">
      <alignment horizontal="right" vertical="center"/>
    </xf>
    <xf numFmtId="168" fontId="13" fillId="8" borderId="70" xfId="1" applyNumberFormat="1" applyFont="1" applyFill="1" applyBorder="1" applyAlignment="1">
      <alignment horizontal="right" vertical="center"/>
    </xf>
    <xf numFmtId="168" fontId="12" fillId="18" borderId="12" xfId="1" applyNumberFormat="1" applyFont="1" applyFill="1" applyBorder="1" applyAlignment="1">
      <alignment horizontal="right" vertical="top"/>
    </xf>
    <xf numFmtId="168" fontId="44" fillId="2" borderId="73" xfId="1" applyNumberFormat="1" applyFont="1" applyFill="1" applyBorder="1"/>
    <xf numFmtId="168" fontId="13" fillId="7" borderId="116" xfId="1" applyNumberFormat="1" applyFont="1" applyFill="1" applyBorder="1" applyAlignment="1">
      <alignment horizontal="right" vertical="center"/>
    </xf>
    <xf numFmtId="168" fontId="12" fillId="18" borderId="110" xfId="1" applyNumberFormat="1" applyFont="1" applyFill="1" applyBorder="1" applyAlignment="1">
      <alignment horizontal="right" vertical="top"/>
    </xf>
    <xf numFmtId="168" fontId="44" fillId="2" borderId="58" xfId="1" applyNumberFormat="1" applyFont="1" applyFill="1" applyBorder="1"/>
    <xf numFmtId="168" fontId="12" fillId="18" borderId="119" xfId="1" applyNumberFormat="1" applyFont="1" applyFill="1" applyBorder="1" applyAlignment="1">
      <alignment horizontal="right" vertical="top"/>
    </xf>
    <xf numFmtId="168" fontId="13" fillId="8" borderId="72" xfId="1" applyNumberFormat="1" applyFont="1" applyFill="1" applyBorder="1" applyAlignment="1">
      <alignment horizontal="right" vertical="center"/>
    </xf>
    <xf numFmtId="164" fontId="13" fillId="8" borderId="120" xfId="1" applyNumberFormat="1" applyFont="1" applyFill="1" applyBorder="1" applyAlignment="1">
      <alignment horizontal="right" vertical="center"/>
    </xf>
    <xf numFmtId="164" fontId="13" fillId="8" borderId="70" xfId="1" applyNumberFormat="1" applyFont="1" applyFill="1" applyBorder="1" applyAlignment="1">
      <alignment horizontal="right" vertical="center"/>
    </xf>
    <xf numFmtId="164" fontId="12" fillId="18" borderId="111" xfId="1" applyNumberFormat="1" applyFont="1" applyFill="1" applyBorder="1" applyAlignment="1">
      <alignment horizontal="right" vertical="top"/>
    </xf>
    <xf numFmtId="164" fontId="44" fillId="2" borderId="58" xfId="1" applyNumberFormat="1" applyFont="1" applyFill="1" applyBorder="1"/>
    <xf numFmtId="164" fontId="13" fillId="7" borderId="117" xfId="1" applyNumberFormat="1" applyFont="1" applyFill="1" applyBorder="1" applyAlignment="1">
      <alignment horizontal="right" vertical="center"/>
    </xf>
    <xf numFmtId="164" fontId="12" fillId="18" borderId="112" xfId="1" applyNumberFormat="1" applyFont="1" applyFill="1" applyBorder="1" applyAlignment="1">
      <alignment horizontal="right" vertical="top"/>
    </xf>
    <xf numFmtId="164" fontId="13" fillId="8" borderId="117" xfId="1" applyNumberFormat="1" applyFont="1" applyFill="1" applyBorder="1" applyAlignment="1">
      <alignment horizontal="right" vertical="center"/>
    </xf>
    <xf numFmtId="164" fontId="44" fillId="2" borderId="118" xfId="1" applyNumberFormat="1" applyFont="1" applyFill="1" applyBorder="1"/>
    <xf numFmtId="168" fontId="15" fillId="2" borderId="0" xfId="1" applyNumberFormat="1" applyFont="1" applyFill="1" applyBorder="1" applyAlignment="1">
      <alignment horizontal="right" vertical="top"/>
    </xf>
    <xf numFmtId="168" fontId="15" fillId="4" borderId="14" xfId="1" applyNumberFormat="1" applyFont="1" applyFill="1" applyBorder="1" applyAlignment="1">
      <alignment vertical="top"/>
    </xf>
    <xf numFmtId="164" fontId="67" fillId="0" borderId="38" xfId="1" applyNumberFormat="1" applyFont="1" applyFill="1" applyBorder="1" applyAlignment="1">
      <alignment horizontal="right" vertical="center"/>
    </xf>
    <xf numFmtId="164" fontId="67" fillId="0" borderId="65" xfId="1" applyNumberFormat="1" applyFont="1" applyFill="1" applyBorder="1" applyAlignment="1">
      <alignment horizontal="right" vertical="center"/>
    </xf>
    <xf numFmtId="164" fontId="22" fillId="2" borderId="0" xfId="1" applyNumberFormat="1" applyFont="1" applyFill="1" applyBorder="1" applyAlignment="1">
      <alignment horizontal="left" vertical="top"/>
    </xf>
    <xf numFmtId="164" fontId="15" fillId="4" borderId="14" xfId="1" applyNumberFormat="1" applyFont="1" applyFill="1" applyBorder="1" applyAlignment="1">
      <alignment vertical="top"/>
    </xf>
    <xf numFmtId="164" fontId="20" fillId="2" borderId="3" xfId="1" applyNumberFormat="1" applyFont="1" applyFill="1" applyBorder="1" applyAlignment="1">
      <alignment horizontal="right" vertical="top"/>
    </xf>
    <xf numFmtId="164" fontId="67" fillId="0" borderId="37" xfId="1" applyNumberFormat="1" applyFont="1" applyFill="1" applyBorder="1" applyAlignment="1">
      <alignment horizontal="right" vertical="center"/>
    </xf>
    <xf numFmtId="168" fontId="20" fillId="8" borderId="3" xfId="1" applyNumberFormat="1" applyFont="1" applyFill="1" applyBorder="1" applyAlignment="1">
      <alignment horizontal="right" vertical="top"/>
    </xf>
    <xf numFmtId="168" fontId="20" fillId="8" borderId="18" xfId="1" applyNumberFormat="1" applyFont="1" applyFill="1" applyBorder="1" applyAlignment="1">
      <alignment horizontal="right" vertical="top"/>
    </xf>
    <xf numFmtId="164" fontId="15" fillId="2" borderId="14" xfId="1" applyNumberFormat="1" applyFont="1" applyFill="1" applyBorder="1" applyAlignment="1">
      <alignment vertical="top"/>
    </xf>
    <xf numFmtId="164" fontId="15" fillId="2" borderId="0" xfId="1" applyNumberFormat="1" applyFont="1" applyFill="1" applyBorder="1" applyAlignment="1">
      <alignment vertical="top"/>
    </xf>
    <xf numFmtId="0" fontId="20" fillId="2" borderId="0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left" vertical="top"/>
    </xf>
    <xf numFmtId="164" fontId="1" fillId="2" borderId="3" xfId="1" applyNumberFormat="1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164" fontId="20" fillId="2" borderId="4" xfId="1" applyNumberFormat="1" applyFont="1" applyFill="1" applyBorder="1" applyAlignment="1">
      <alignment horizontal="left" vertical="top"/>
    </xf>
    <xf numFmtId="0" fontId="20" fillId="2" borderId="6" xfId="0" applyFont="1" applyFill="1" applyBorder="1" applyAlignment="1">
      <alignment horizontal="left" vertical="top" indent="3"/>
    </xf>
    <xf numFmtId="164" fontId="20" fillId="11" borderId="4" xfId="1" applyNumberFormat="1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164" fontId="20" fillId="11" borderId="5" xfId="1" applyNumberFormat="1" applyFont="1" applyFill="1" applyBorder="1" applyAlignment="1">
      <alignment horizontal="left" vertical="top"/>
    </xf>
    <xf numFmtId="0" fontId="15" fillId="4" borderId="12" xfId="0" applyFont="1" applyFill="1" applyBorder="1" applyAlignment="1">
      <alignment horizontal="left" vertical="top"/>
    </xf>
    <xf numFmtId="164" fontId="15" fillId="4" borderId="12" xfId="1" applyNumberFormat="1" applyFont="1" applyFill="1" applyBorder="1" applyAlignment="1">
      <alignment horizontal="left" vertical="top"/>
    </xf>
    <xf numFmtId="164" fontId="15" fillId="4" borderId="12" xfId="1" applyNumberFormat="1" applyFont="1" applyFill="1" applyBorder="1" applyAlignment="1">
      <alignment horizontal="center" vertical="top"/>
    </xf>
    <xf numFmtId="9" fontId="15" fillId="4" borderId="12" xfId="3" applyNumberFormat="1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left" vertical="top" wrapText="1"/>
    </xf>
    <xf numFmtId="164" fontId="20" fillId="2" borderId="29" xfId="1" applyNumberFormat="1" applyFont="1" applyFill="1" applyBorder="1" applyAlignment="1">
      <alignment horizontal="left" vertical="center"/>
    </xf>
    <xf numFmtId="164" fontId="20" fillId="2" borderId="5" xfId="1" applyNumberFormat="1" applyFont="1" applyFill="1" applyBorder="1" applyAlignment="1">
      <alignment horizontal="left" vertical="top"/>
    </xf>
    <xf numFmtId="164" fontId="20" fillId="2" borderId="29" xfId="1" applyNumberFormat="1" applyFont="1" applyFill="1" applyBorder="1" applyAlignment="1">
      <alignment horizontal="left" vertical="top"/>
    </xf>
    <xf numFmtId="164" fontId="20" fillId="2" borderId="0" xfId="1" applyNumberFormat="1" applyFont="1" applyFill="1" applyBorder="1" applyAlignment="1">
      <alignment horizontal="center" vertical="top"/>
    </xf>
    <xf numFmtId="0" fontId="12" fillId="4" borderId="137" xfId="12" applyFont="1" applyFill="1" applyBorder="1" applyAlignment="1">
      <alignment vertical="top"/>
    </xf>
    <xf numFmtId="0" fontId="12" fillId="4" borderId="138" xfId="12" applyFont="1" applyFill="1" applyBorder="1" applyAlignment="1">
      <alignment vertical="top"/>
    </xf>
    <xf numFmtId="164" fontId="13" fillId="0" borderId="148" xfId="1" applyNumberFormat="1" applyFont="1" applyFill="1" applyBorder="1" applyAlignment="1">
      <alignment horizontal="right" vertical="center"/>
    </xf>
    <xf numFmtId="164" fontId="13" fillId="0" borderId="149" xfId="1" applyNumberFormat="1" applyFont="1" applyFill="1" applyBorder="1" applyAlignment="1">
      <alignment horizontal="right" vertical="center"/>
    </xf>
    <xf numFmtId="164" fontId="13" fillId="0" borderId="151" xfId="1" applyNumberFormat="1" applyFont="1" applyFill="1" applyBorder="1" applyAlignment="1">
      <alignment horizontal="right" vertical="center"/>
    </xf>
    <xf numFmtId="164" fontId="13" fillId="0" borderId="152" xfId="1" applyNumberFormat="1" applyFont="1" applyFill="1" applyBorder="1" applyAlignment="1">
      <alignment horizontal="right" vertical="center"/>
    </xf>
    <xf numFmtId="164" fontId="13" fillId="0" borderId="153" xfId="1" applyNumberFormat="1" applyFont="1" applyFill="1" applyBorder="1" applyAlignment="1">
      <alignment horizontal="right" vertical="center"/>
    </xf>
    <xf numFmtId="164" fontId="13" fillId="0" borderId="154" xfId="1" applyNumberFormat="1" applyFont="1" applyFill="1" applyBorder="1" applyAlignment="1">
      <alignment horizontal="right" vertical="center"/>
    </xf>
    <xf numFmtId="168" fontId="13" fillId="0" borderId="148" xfId="1" applyNumberFormat="1" applyFont="1" applyFill="1" applyBorder="1" applyAlignment="1">
      <alignment horizontal="right" vertical="center"/>
    </xf>
    <xf numFmtId="168" fontId="13" fillId="0" borderId="149" xfId="1" applyNumberFormat="1" applyFont="1" applyFill="1" applyBorder="1" applyAlignment="1">
      <alignment horizontal="right" vertical="center"/>
    </xf>
    <xf numFmtId="168" fontId="13" fillId="0" borderId="151" xfId="1" applyNumberFormat="1" applyFont="1" applyFill="1" applyBorder="1" applyAlignment="1">
      <alignment horizontal="right" vertical="center"/>
    </xf>
    <xf numFmtId="168" fontId="13" fillId="0" borderId="152" xfId="1" applyNumberFormat="1" applyFont="1" applyFill="1" applyBorder="1" applyAlignment="1">
      <alignment horizontal="right" vertical="center"/>
    </xf>
    <xf numFmtId="168" fontId="13" fillId="0" borderId="153" xfId="1" applyNumberFormat="1" applyFont="1" applyFill="1" applyBorder="1" applyAlignment="1">
      <alignment horizontal="right" vertical="center"/>
    </xf>
    <xf numFmtId="168" fontId="13" fillId="0" borderId="154" xfId="1" applyNumberFormat="1" applyFont="1" applyFill="1" applyBorder="1" applyAlignment="1">
      <alignment horizontal="right" vertical="center"/>
    </xf>
    <xf numFmtId="0" fontId="68" fillId="11" borderId="98" xfId="15" applyFont="1" applyFill="1" applyBorder="1" applyAlignment="1">
      <alignment horizontal="center"/>
    </xf>
    <xf numFmtId="164" fontId="72" fillId="7" borderId="13" xfId="1" applyNumberFormat="1" applyFont="1" applyFill="1" applyBorder="1" applyAlignment="1">
      <alignment horizontal="left" vertical="top"/>
    </xf>
    <xf numFmtId="164" fontId="22" fillId="2" borderId="0" xfId="0" applyNumberFormat="1" applyFont="1" applyFill="1" applyBorder="1" applyAlignment="1">
      <alignment horizontal="left" vertical="top"/>
    </xf>
    <xf numFmtId="9" fontId="79" fillId="7" borderId="4" xfId="3" applyFont="1" applyFill="1" applyBorder="1" applyAlignment="1">
      <alignment horizontal="center" vertical="top"/>
    </xf>
    <xf numFmtId="0" fontId="69" fillId="3" borderId="12" xfId="15" applyFont="1" applyFill="1" applyBorder="1" applyAlignment="1">
      <alignment horizontal="center" vertical="center"/>
    </xf>
    <xf numFmtId="164" fontId="58" fillId="26" borderId="47" xfId="11" applyNumberFormat="1" applyFont="1" applyFill="1" applyBorder="1" applyAlignment="1">
      <alignment horizontal="center" vertical="top"/>
    </xf>
    <xf numFmtId="0" fontId="69" fillId="3" borderId="13" xfId="15" applyFont="1" applyFill="1" applyBorder="1" applyAlignment="1">
      <alignment horizontal="center" vertical="center"/>
    </xf>
    <xf numFmtId="0" fontId="40" fillId="2" borderId="22" xfId="0" applyFont="1" applyFill="1" applyBorder="1" applyAlignment="1">
      <alignment vertical="top" wrapText="1"/>
    </xf>
    <xf numFmtId="0" fontId="40" fillId="2" borderId="23" xfId="0" applyFont="1" applyFill="1" applyBorder="1" applyAlignment="1">
      <alignment vertical="top" wrapText="1"/>
    </xf>
    <xf numFmtId="0" fontId="40" fillId="2" borderId="24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43" fontId="58" fillId="26" borderId="47" xfId="11" applyNumberFormat="1" applyFont="1" applyFill="1" applyBorder="1" applyAlignment="1">
      <alignment horizontal="center" vertical="top"/>
    </xf>
    <xf numFmtId="2" fontId="37" fillId="2" borderId="0" xfId="15" applyNumberFormat="1" applyFont="1" applyFill="1"/>
    <xf numFmtId="9" fontId="58" fillId="26" borderId="43" xfId="3" applyFont="1" applyFill="1" applyBorder="1" applyAlignment="1">
      <alignment horizontal="center" vertical="top"/>
    </xf>
    <xf numFmtId="43" fontId="58" fillId="26" borderId="155" xfId="11" applyNumberFormat="1" applyFont="1" applyFill="1" applyBorder="1" applyAlignment="1">
      <alignment horizontal="center" vertical="top"/>
    </xf>
    <xf numFmtId="9" fontId="40" fillId="0" borderId="5" xfId="3" applyFont="1" applyFill="1" applyBorder="1" applyAlignment="1" applyProtection="1">
      <alignment horizontal="center"/>
      <protection locked="0"/>
    </xf>
    <xf numFmtId="9" fontId="40" fillId="2" borderId="4" xfId="3" applyFont="1" applyFill="1" applyBorder="1" applyAlignment="1" applyProtection="1">
      <alignment horizontal="center"/>
      <protection locked="0"/>
    </xf>
    <xf numFmtId="0" fontId="17" fillId="4" borderId="13" xfId="12" applyFont="1" applyFill="1" applyBorder="1" applyAlignment="1">
      <alignment horizontal="left" vertical="top"/>
    </xf>
    <xf numFmtId="0" fontId="17" fillId="4" borderId="15" xfId="12" applyFont="1" applyFill="1" applyBorder="1" applyAlignment="1">
      <alignment horizontal="left" vertical="top"/>
    </xf>
    <xf numFmtId="0" fontId="36" fillId="14" borderId="48" xfId="15" applyFont="1" applyFill="1" applyBorder="1" applyAlignment="1">
      <alignment horizontal="center" vertical="center"/>
    </xf>
    <xf numFmtId="0" fontId="32" fillId="14" borderId="48" xfId="15" applyFont="1" applyFill="1" applyBorder="1" applyAlignment="1">
      <alignment horizontal="center" vertical="center"/>
    </xf>
    <xf numFmtId="0" fontId="35" fillId="16" borderId="51" xfId="15" applyFont="1" applyFill="1" applyBorder="1" applyAlignment="1">
      <alignment horizontal="center" vertical="center" wrapText="1"/>
    </xf>
    <xf numFmtId="0" fontId="35" fillId="16" borderId="52" xfId="15" applyFont="1" applyFill="1" applyBorder="1" applyAlignment="1">
      <alignment horizontal="center" vertical="center" wrapText="1"/>
    </xf>
    <xf numFmtId="43" fontId="29" fillId="0" borderId="49" xfId="11" applyFont="1" applyFill="1" applyBorder="1" applyAlignment="1">
      <alignment horizontal="left" vertical="center"/>
    </xf>
    <xf numFmtId="43" fontId="29" fillId="0" borderId="50" xfId="11" applyFont="1" applyFill="1" applyBorder="1" applyAlignment="1">
      <alignment horizontal="left" vertical="center"/>
    </xf>
    <xf numFmtId="43" fontId="29" fillId="0" borderId="56" xfId="11" applyFont="1" applyFill="1" applyBorder="1" applyAlignment="1">
      <alignment horizontal="left" vertical="center"/>
    </xf>
    <xf numFmtId="43" fontId="29" fillId="0" borderId="57" xfId="11" applyFont="1" applyFill="1" applyBorder="1" applyAlignment="1">
      <alignment horizontal="left" vertical="center"/>
    </xf>
    <xf numFmtId="0" fontId="32" fillId="15" borderId="61" xfId="15" applyFont="1" applyFill="1" applyBorder="1" applyAlignment="1">
      <alignment horizontal="left" vertical="center" indent="1"/>
    </xf>
    <xf numFmtId="0" fontId="32" fillId="15" borderId="62" xfId="15" applyFont="1" applyFill="1" applyBorder="1" applyAlignment="1">
      <alignment horizontal="left" vertical="center" indent="1"/>
    </xf>
    <xf numFmtId="43" fontId="29" fillId="0" borderId="59" xfId="11" applyFont="1" applyFill="1" applyBorder="1" applyAlignment="1">
      <alignment horizontal="left" vertical="center"/>
    </xf>
    <xf numFmtId="43" fontId="29" fillId="0" borderId="60" xfId="11" applyFont="1" applyFill="1" applyBorder="1" applyAlignment="1">
      <alignment horizontal="left" vertical="center"/>
    </xf>
    <xf numFmtId="0" fontId="17" fillId="4" borderId="54" xfId="12" applyFont="1" applyFill="1" applyBorder="1" applyAlignment="1">
      <alignment horizontal="left" vertical="top"/>
    </xf>
    <xf numFmtId="0" fontId="17" fillId="4" borderId="55" xfId="12" applyFont="1" applyFill="1" applyBorder="1" applyAlignment="1">
      <alignment horizontal="left" vertical="top"/>
    </xf>
    <xf numFmtId="0" fontId="36" fillId="15" borderId="61" xfId="15" applyFont="1" applyFill="1" applyBorder="1" applyAlignment="1">
      <alignment horizontal="left" vertical="center" indent="1"/>
    </xf>
    <xf numFmtId="0" fontId="12" fillId="4" borderId="137" xfId="12" applyFont="1" applyFill="1" applyBorder="1" applyAlignment="1">
      <alignment horizontal="left" vertical="top"/>
    </xf>
    <xf numFmtId="0" fontId="12" fillId="4" borderId="139" xfId="12" applyFont="1" applyFill="1" applyBorder="1" applyAlignment="1">
      <alignment horizontal="left" vertical="top"/>
    </xf>
    <xf numFmtId="0" fontId="13" fillId="0" borderId="147" xfId="11" applyNumberFormat="1" applyFont="1" applyFill="1" applyBorder="1" applyAlignment="1">
      <alignment horizontal="left" vertical="top"/>
    </xf>
    <xf numFmtId="0" fontId="0" fillId="0" borderId="148" xfId="0" applyFill="1" applyBorder="1" applyAlignment="1">
      <alignment horizontal="left" vertical="top"/>
    </xf>
    <xf numFmtId="0" fontId="13" fillId="0" borderId="150" xfId="11" applyNumberFormat="1" applyFont="1" applyFill="1" applyBorder="1" applyAlignment="1">
      <alignment horizontal="left" vertical="top"/>
    </xf>
    <xf numFmtId="0" fontId="0" fillId="0" borderId="151" xfId="0" applyFill="1" applyBorder="1" applyAlignment="1">
      <alignment horizontal="left" vertical="top"/>
    </xf>
    <xf numFmtId="0" fontId="13" fillId="0" borderId="146" xfId="11" applyNumberFormat="1" applyFont="1" applyFill="1" applyBorder="1" applyAlignment="1">
      <alignment horizontal="left" vertical="top"/>
    </xf>
    <xf numFmtId="0" fontId="0" fillId="0" borderId="153" xfId="0" applyFill="1" applyBorder="1" applyAlignment="1">
      <alignment horizontal="left" vertical="top"/>
    </xf>
    <xf numFmtId="0" fontId="69" fillId="3" borderId="28" xfId="15" applyFont="1" applyFill="1" applyBorder="1" applyAlignment="1">
      <alignment horizontal="center" vertical="center"/>
    </xf>
    <xf numFmtId="0" fontId="69" fillId="3" borderId="29" xfId="15" applyFont="1" applyFill="1" applyBorder="1" applyAlignment="1">
      <alignment horizontal="center" vertical="center"/>
    </xf>
    <xf numFmtId="0" fontId="59" fillId="24" borderId="13" xfId="15" applyFont="1" applyFill="1" applyBorder="1" applyAlignment="1">
      <alignment horizontal="center" vertical="center"/>
    </xf>
    <xf numFmtId="0" fontId="59" fillId="24" borderId="14" xfId="15" applyFont="1" applyFill="1" applyBorder="1" applyAlignment="1">
      <alignment horizontal="center" vertical="center"/>
    </xf>
    <xf numFmtId="0" fontId="59" fillId="24" borderId="15" xfId="15" applyFont="1" applyFill="1" applyBorder="1" applyAlignment="1">
      <alignment horizontal="center" vertical="center"/>
    </xf>
    <xf numFmtId="0" fontId="68" fillId="15" borderId="144" xfId="15" applyFont="1" applyFill="1" applyBorder="1" applyAlignment="1">
      <alignment horizontal="center"/>
    </xf>
    <xf numFmtId="0" fontId="68" fillId="15" borderId="145" xfId="15" applyFont="1" applyFill="1" applyBorder="1" applyAlignment="1">
      <alignment horizontal="center"/>
    </xf>
    <xf numFmtId="0" fontId="13" fillId="0" borderId="148" xfId="11" applyNumberFormat="1" applyFont="1" applyFill="1" applyBorder="1" applyAlignment="1">
      <alignment horizontal="left" vertical="top"/>
    </xf>
    <xf numFmtId="43" fontId="46" fillId="6" borderId="25" xfId="11" applyFont="1" applyFill="1" applyBorder="1" applyAlignment="1">
      <alignment horizontal="center" vertical="center"/>
    </xf>
    <xf numFmtId="43" fontId="46" fillId="6" borderId="26" xfId="11" applyFont="1" applyFill="1" applyBorder="1" applyAlignment="1">
      <alignment horizontal="center" vertical="center"/>
    </xf>
    <xf numFmtId="43" fontId="46" fillId="6" borderId="27" xfId="11" applyFont="1" applyFill="1" applyBorder="1" applyAlignment="1">
      <alignment horizontal="center" vertical="center"/>
    </xf>
    <xf numFmtId="0" fontId="13" fillId="19" borderId="49" xfId="0" applyFont="1" applyFill="1" applyBorder="1" applyAlignment="1">
      <alignment horizontal="left" vertical="center"/>
    </xf>
    <xf numFmtId="0" fontId="13" fillId="19" borderId="66" xfId="0" applyFont="1" applyFill="1" applyBorder="1" applyAlignment="1">
      <alignment horizontal="left" vertical="center"/>
    </xf>
    <xf numFmtId="0" fontId="13" fillId="19" borderId="81" xfId="11" applyNumberFormat="1" applyFont="1" applyFill="1" applyBorder="1" applyAlignment="1">
      <alignment horizontal="left" vertical="center"/>
    </xf>
    <xf numFmtId="0" fontId="11" fillId="19" borderId="88" xfId="0" applyNumberFormat="1" applyFont="1" applyFill="1" applyBorder="1" applyAlignment="1">
      <alignment horizontal="left" vertical="center"/>
    </xf>
    <xf numFmtId="0" fontId="13" fillId="0" borderId="49" xfId="11" applyNumberFormat="1" applyFont="1" applyFill="1" applyBorder="1" applyAlignment="1">
      <alignment horizontal="left" vertical="center"/>
    </xf>
    <xf numFmtId="0" fontId="11" fillId="0" borderId="50" xfId="0" applyNumberFormat="1" applyFont="1" applyFill="1" applyBorder="1" applyAlignment="1">
      <alignment horizontal="left" vertical="center"/>
    </xf>
    <xf numFmtId="0" fontId="12" fillId="2" borderId="25" xfId="12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3" fillId="0" borderId="50" xfId="11" applyNumberFormat="1" applyFont="1" applyFill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83" xfId="11" applyNumberFormat="1" applyFont="1" applyFill="1" applyBorder="1" applyAlignment="1">
      <alignment horizontal="left" vertical="center"/>
    </xf>
    <xf numFmtId="0" fontId="13" fillId="0" borderId="84" xfId="11" applyNumberFormat="1" applyFont="1" applyFill="1" applyBorder="1" applyAlignment="1">
      <alignment horizontal="left" vertical="center"/>
    </xf>
    <xf numFmtId="43" fontId="45" fillId="14" borderId="0" xfId="11" applyFont="1" applyFill="1" applyBorder="1" applyAlignment="1">
      <alignment horizontal="left" vertical="center" wrapText="1"/>
    </xf>
    <xf numFmtId="43" fontId="45" fillId="14" borderId="21" xfId="11" applyFont="1" applyFill="1" applyBorder="1" applyAlignment="1">
      <alignment horizontal="left" vertical="center" wrapText="1"/>
    </xf>
    <xf numFmtId="0" fontId="13" fillId="0" borderId="81" xfId="11" applyNumberFormat="1" applyFont="1" applyFill="1" applyBorder="1" applyAlignment="1">
      <alignment horizontal="left" vertical="center"/>
    </xf>
    <xf numFmtId="0" fontId="11" fillId="0" borderId="82" xfId="0" applyNumberFormat="1" applyFont="1" applyFill="1" applyBorder="1" applyAlignment="1">
      <alignment horizontal="left" vertical="center"/>
    </xf>
    <xf numFmtId="0" fontId="11" fillId="0" borderId="84" xfId="0" applyNumberFormat="1" applyFont="1" applyFill="1" applyBorder="1" applyAlignment="1">
      <alignment horizontal="left" vertical="center"/>
    </xf>
    <xf numFmtId="0" fontId="59" fillId="7" borderId="61" xfId="15" applyFont="1" applyFill="1" applyBorder="1" applyAlignment="1">
      <alignment horizontal="left" vertical="top" indent="1"/>
    </xf>
    <xf numFmtId="0" fontId="59" fillId="7" borderId="64" xfId="15" applyFont="1" applyFill="1" applyBorder="1" applyAlignment="1">
      <alignment horizontal="left" vertical="top" indent="1"/>
    </xf>
    <xf numFmtId="0" fontId="12" fillId="4" borderId="13" xfId="12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2" fillId="2" borderId="18" xfId="12" applyFont="1" applyFill="1" applyBorder="1" applyAlignment="1">
      <alignment horizontal="left" vertical="center"/>
    </xf>
    <xf numFmtId="0" fontId="11" fillId="0" borderId="82" xfId="0" applyFont="1" applyFill="1" applyBorder="1" applyAlignment="1">
      <alignment horizontal="left" vertical="center"/>
    </xf>
    <xf numFmtId="0" fontId="12" fillId="18" borderId="54" xfId="12" applyFont="1" applyFill="1" applyBorder="1" applyAlignment="1">
      <alignment horizontal="left" vertical="top"/>
    </xf>
    <xf numFmtId="0" fontId="12" fillId="18" borderId="0" xfId="12" applyFont="1" applyFill="1" applyBorder="1" applyAlignment="1">
      <alignment horizontal="left" vertical="top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2" fillId="18" borderId="13" xfId="12" applyFont="1" applyFill="1" applyBorder="1" applyAlignment="1">
      <alignment horizontal="left" vertical="top"/>
    </xf>
    <xf numFmtId="0" fontId="12" fillId="18" borderId="14" xfId="12" applyFont="1" applyFill="1" applyBorder="1" applyAlignment="1">
      <alignment horizontal="left" vertical="top"/>
    </xf>
    <xf numFmtId="0" fontId="59" fillId="7" borderId="25" xfId="15" applyFont="1" applyFill="1" applyBorder="1" applyAlignment="1">
      <alignment horizontal="left" vertical="center" indent="1"/>
    </xf>
    <xf numFmtId="0" fontId="59" fillId="7" borderId="68" xfId="15" applyFont="1" applyFill="1" applyBorder="1" applyAlignment="1">
      <alignment horizontal="left" vertical="center" indent="1"/>
    </xf>
    <xf numFmtId="0" fontId="13" fillId="19" borderId="49" xfId="11" applyNumberFormat="1" applyFont="1" applyFill="1" applyBorder="1" applyAlignment="1">
      <alignment horizontal="left" vertical="center"/>
    </xf>
    <xf numFmtId="0" fontId="11" fillId="19" borderId="66" xfId="0" applyNumberFormat="1" applyFont="1" applyFill="1" applyBorder="1" applyAlignment="1">
      <alignment horizontal="left" vertical="center"/>
    </xf>
    <xf numFmtId="0" fontId="13" fillId="19" borderId="83" xfId="11" applyNumberFormat="1" applyFont="1" applyFill="1" applyBorder="1" applyAlignment="1">
      <alignment horizontal="left" vertical="center"/>
    </xf>
    <xf numFmtId="0" fontId="11" fillId="19" borderId="89" xfId="0" applyNumberFormat="1" applyFont="1" applyFill="1" applyBorder="1" applyAlignment="1">
      <alignment horizontal="left" vertical="center"/>
    </xf>
    <xf numFmtId="0" fontId="13" fillId="19" borderId="34" xfId="11" applyNumberFormat="1" applyFont="1" applyFill="1" applyBorder="1" applyAlignment="1">
      <alignment horizontal="left" vertical="center"/>
    </xf>
    <xf numFmtId="0" fontId="45" fillId="14" borderId="10" xfId="15" applyFont="1" applyFill="1" applyBorder="1" applyAlignment="1">
      <alignment horizontal="center" vertical="center" wrapText="1"/>
    </xf>
    <xf numFmtId="0" fontId="45" fillId="14" borderId="123" xfId="15" applyFont="1" applyFill="1" applyBorder="1" applyAlignment="1">
      <alignment horizontal="center" vertical="center" wrapText="1"/>
    </xf>
    <xf numFmtId="0" fontId="45" fillId="14" borderId="23" xfId="15" applyFont="1" applyFill="1" applyBorder="1" applyAlignment="1">
      <alignment horizontal="center" vertical="center" wrapText="1"/>
    </xf>
    <xf numFmtId="0" fontId="45" fillId="14" borderId="124" xfId="15" applyFont="1" applyFill="1" applyBorder="1" applyAlignment="1">
      <alignment horizontal="center" vertical="center" wrapText="1"/>
    </xf>
    <xf numFmtId="43" fontId="58" fillId="7" borderId="122" xfId="11" applyFont="1" applyFill="1" applyBorder="1" applyAlignment="1">
      <alignment horizontal="center" vertical="center"/>
    </xf>
    <xf numFmtId="43" fontId="58" fillId="7" borderId="121" xfId="11" applyFont="1" applyFill="1" applyBorder="1" applyAlignment="1">
      <alignment horizontal="center" vertical="center"/>
    </xf>
    <xf numFmtId="43" fontId="58" fillId="8" borderId="113" xfId="11" applyFont="1" applyFill="1" applyBorder="1" applyAlignment="1">
      <alignment horizontal="center" vertical="center"/>
    </xf>
    <xf numFmtId="43" fontId="58" fillId="8" borderId="121" xfId="11" applyFont="1" applyFill="1" applyBorder="1" applyAlignment="1">
      <alignment horizontal="center" vertical="center"/>
    </xf>
    <xf numFmtId="0" fontId="40" fillId="2" borderId="20" xfId="0" applyFont="1" applyFill="1" applyBorder="1" applyAlignment="1">
      <alignment horizontal="left" vertical="top" wrapText="1"/>
    </xf>
    <xf numFmtId="0" fontId="40" fillId="2" borderId="0" xfId="0" applyFont="1" applyFill="1" applyBorder="1" applyAlignment="1">
      <alignment horizontal="left" vertical="top" wrapText="1"/>
    </xf>
    <xf numFmtId="0" fontId="40" fillId="2" borderId="21" xfId="0" applyFont="1" applyFill="1" applyBorder="1" applyAlignment="1">
      <alignment horizontal="left" vertical="top" wrapText="1"/>
    </xf>
    <xf numFmtId="0" fontId="74" fillId="0" borderId="13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72" fillId="7" borderId="13" xfId="0" applyFont="1" applyFill="1" applyBorder="1" applyAlignment="1">
      <alignment horizontal="left" vertical="top"/>
    </xf>
    <xf numFmtId="0" fontId="72" fillId="7" borderId="15" xfId="0" applyFont="1" applyFill="1" applyBorder="1" applyAlignment="1">
      <alignment horizontal="left" vertical="top"/>
    </xf>
    <xf numFmtId="0" fontId="70" fillId="0" borderId="13" xfId="0" applyFont="1" applyFill="1" applyBorder="1" applyAlignment="1">
      <alignment horizontal="left" vertical="top"/>
    </xf>
    <xf numFmtId="0" fontId="70" fillId="0" borderId="15" xfId="0" applyFont="1" applyFill="1" applyBorder="1" applyAlignment="1">
      <alignment horizontal="left" vertical="top"/>
    </xf>
    <xf numFmtId="0" fontId="70" fillId="0" borderId="85" xfId="0" applyFont="1" applyFill="1" applyBorder="1" applyAlignment="1">
      <alignment horizontal="left" vertical="top"/>
    </xf>
    <xf numFmtId="0" fontId="70" fillId="0" borderId="86" xfId="0" applyFont="1" applyFill="1" applyBorder="1" applyAlignment="1">
      <alignment horizontal="left" vertical="top"/>
    </xf>
    <xf numFmtId="0" fontId="72" fillId="7" borderId="13" xfId="0" applyFont="1" applyFill="1" applyBorder="1" applyAlignment="1">
      <alignment horizontal="left" vertical="center"/>
    </xf>
    <xf numFmtId="0" fontId="72" fillId="7" borderId="15" xfId="0" applyFont="1" applyFill="1" applyBorder="1" applyAlignment="1">
      <alignment horizontal="left" vertical="center"/>
    </xf>
    <xf numFmtId="0" fontId="70" fillId="7" borderId="13" xfId="0" applyFont="1" applyFill="1" applyBorder="1" applyAlignment="1">
      <alignment horizontal="left" vertical="top" wrapText="1"/>
    </xf>
    <xf numFmtId="0" fontId="70" fillId="7" borderId="15" xfId="0" applyFont="1" applyFill="1" applyBorder="1" applyAlignment="1">
      <alignment horizontal="left" vertical="top" wrapText="1"/>
    </xf>
    <xf numFmtId="43" fontId="74" fillId="0" borderId="13" xfId="0" applyNumberFormat="1" applyFont="1" applyFill="1" applyBorder="1" applyAlignment="1">
      <alignment horizontal="left" vertical="center" wrapText="1"/>
    </xf>
    <xf numFmtId="43" fontId="74" fillId="0" borderId="15" xfId="0" applyNumberFormat="1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left" vertical="top"/>
    </xf>
    <xf numFmtId="0" fontId="72" fillId="25" borderId="15" xfId="0" applyFont="1" applyFill="1" applyBorder="1" applyAlignment="1">
      <alignment horizontal="left" vertical="top"/>
    </xf>
    <xf numFmtId="0" fontId="15" fillId="8" borderId="13" xfId="2" applyFont="1" applyFill="1" applyBorder="1" applyAlignment="1">
      <alignment horizontal="center" vertical="top"/>
    </xf>
    <xf numFmtId="0" fontId="15" fillId="8" borderId="14" xfId="2" applyFont="1" applyFill="1" applyBorder="1" applyAlignment="1">
      <alignment horizontal="center" vertical="top"/>
    </xf>
    <xf numFmtId="0" fontId="15" fillId="8" borderId="15" xfId="2" applyFont="1" applyFill="1" applyBorder="1" applyAlignment="1">
      <alignment horizontal="center" vertical="top"/>
    </xf>
    <xf numFmtId="0" fontId="47" fillId="3" borderId="13" xfId="0" applyFont="1" applyFill="1" applyBorder="1" applyAlignment="1">
      <alignment horizontal="center" vertical="top"/>
    </xf>
    <xf numFmtId="0" fontId="47" fillId="3" borderId="14" xfId="0" applyFont="1" applyFill="1" applyBorder="1" applyAlignment="1">
      <alignment horizontal="center" vertical="top"/>
    </xf>
    <xf numFmtId="0" fontId="47" fillId="3" borderId="15" xfId="0" applyFont="1" applyFill="1" applyBorder="1" applyAlignment="1">
      <alignment horizontal="center" vertical="top"/>
    </xf>
    <xf numFmtId="0" fontId="47" fillId="4" borderId="13" xfId="0" applyFont="1" applyFill="1" applyBorder="1" applyAlignment="1">
      <alignment horizontal="center" vertical="top"/>
    </xf>
    <xf numFmtId="0" fontId="47" fillId="4" borderId="14" xfId="0" applyFont="1" applyFill="1" applyBorder="1" applyAlignment="1">
      <alignment horizontal="center" vertical="top"/>
    </xf>
    <xf numFmtId="0" fontId="47" fillId="4" borderId="15" xfId="0" applyFont="1" applyFill="1" applyBorder="1" applyAlignment="1">
      <alignment horizontal="center" vertical="top"/>
    </xf>
    <xf numFmtId="0" fontId="15" fillId="10" borderId="28" xfId="2" applyFont="1" applyFill="1" applyBorder="1" applyAlignment="1">
      <alignment horizontal="center" vertical="center" wrapText="1"/>
    </xf>
    <xf numFmtId="0" fontId="15" fillId="10" borderId="29" xfId="2" applyFont="1" applyFill="1" applyBorder="1" applyAlignment="1">
      <alignment horizontal="center" vertical="center" wrapText="1"/>
    </xf>
    <xf numFmtId="43" fontId="15" fillId="4" borderId="28" xfId="1" applyFont="1" applyFill="1" applyBorder="1" applyAlignment="1">
      <alignment horizontal="center" vertical="center"/>
    </xf>
    <xf numFmtId="43" fontId="15" fillId="4" borderId="29" xfId="1" applyFont="1" applyFill="1" applyBorder="1" applyAlignment="1">
      <alignment horizontal="center" vertical="center"/>
    </xf>
    <xf numFmtId="43" fontId="15" fillId="4" borderId="28" xfId="1" applyFont="1" applyFill="1" applyBorder="1" applyAlignment="1">
      <alignment horizontal="center" vertical="center" wrapText="1"/>
    </xf>
    <xf numFmtId="43" fontId="15" fillId="4" borderId="29" xfId="1" applyFont="1" applyFill="1" applyBorder="1" applyAlignment="1">
      <alignment horizontal="center" vertical="center" wrapText="1"/>
    </xf>
    <xf numFmtId="0" fontId="39" fillId="18" borderId="75" xfId="18" applyFont="1" applyFill="1" applyBorder="1" applyAlignment="1">
      <alignment horizontal="left"/>
    </xf>
    <xf numFmtId="0" fontId="39" fillId="18" borderId="80" xfId="18" applyFont="1" applyFill="1" applyBorder="1" applyAlignment="1">
      <alignment horizontal="left"/>
    </xf>
    <xf numFmtId="0" fontId="17" fillId="3" borderId="13" xfId="0" applyFont="1" applyFill="1" applyBorder="1" applyAlignment="1">
      <alignment horizontal="left" vertical="top"/>
    </xf>
    <xf numFmtId="0" fontId="17" fillId="3" borderId="14" xfId="0" applyFont="1" applyFill="1" applyBorder="1" applyAlignment="1">
      <alignment horizontal="left" vertical="top"/>
    </xf>
    <xf numFmtId="0" fontId="17" fillId="3" borderId="15" xfId="0" applyFont="1" applyFill="1" applyBorder="1" applyAlignment="1">
      <alignment horizontal="left" vertical="top"/>
    </xf>
    <xf numFmtId="0" fontId="39" fillId="18" borderId="77" xfId="18" applyFont="1" applyFill="1" applyBorder="1" applyAlignment="1">
      <alignment horizontal="left" vertical="top"/>
    </xf>
    <xf numFmtId="0" fontId="39" fillId="18" borderId="78" xfId="18" applyFont="1" applyFill="1" applyBorder="1" applyAlignment="1">
      <alignment horizontal="left" vertical="top"/>
    </xf>
    <xf numFmtId="0" fontId="39" fillId="18" borderId="74" xfId="18" applyFont="1" applyFill="1" applyBorder="1" applyAlignment="1">
      <alignment horizontal="left" vertical="top"/>
    </xf>
    <xf numFmtId="0" fontId="39" fillId="18" borderId="79" xfId="18" applyFont="1" applyFill="1" applyBorder="1" applyAlignment="1">
      <alignment horizontal="left" vertical="top"/>
    </xf>
    <xf numFmtId="43" fontId="15" fillId="4" borderId="28" xfId="1" applyFont="1" applyFill="1" applyBorder="1" applyAlignment="1">
      <alignment horizontal="center" vertical="top"/>
    </xf>
    <xf numFmtId="43" fontId="15" fillId="4" borderId="29" xfId="1" applyFont="1" applyFill="1" applyBorder="1" applyAlignment="1">
      <alignment horizontal="center" vertical="top"/>
    </xf>
    <xf numFmtId="0" fontId="15" fillId="4" borderId="13" xfId="0" applyFont="1" applyFill="1" applyBorder="1" applyAlignment="1">
      <alignment horizontal="center" vertical="top"/>
    </xf>
    <xf numFmtId="0" fontId="15" fillId="4" borderId="14" xfId="0" applyFont="1" applyFill="1" applyBorder="1" applyAlignment="1">
      <alignment horizontal="center" vertical="top"/>
    </xf>
    <xf numFmtId="0" fontId="15" fillId="4" borderId="15" xfId="0" applyFont="1" applyFill="1" applyBorder="1" applyAlignment="1">
      <alignment horizontal="center" vertical="top"/>
    </xf>
    <xf numFmtId="0" fontId="23" fillId="6" borderId="25" xfId="8" applyNumberFormat="1" applyFont="1" applyFill="1" applyBorder="1" applyAlignment="1">
      <alignment horizontal="center" vertical="center"/>
    </xf>
    <xf numFmtId="0" fontId="23" fillId="6" borderId="26" xfId="8" applyNumberFormat="1" applyFont="1" applyFill="1" applyBorder="1" applyAlignment="1">
      <alignment horizontal="center" vertical="center"/>
    </xf>
    <xf numFmtId="0" fontId="23" fillId="6" borderId="27" xfId="8" applyNumberFormat="1" applyFont="1" applyFill="1" applyBorder="1" applyAlignment="1">
      <alignment horizontal="center" vertical="center"/>
    </xf>
    <xf numFmtId="0" fontId="24" fillId="7" borderId="25" xfId="0" applyFont="1" applyFill="1" applyBorder="1" applyAlignment="1">
      <alignment horizontal="center" vertical="top"/>
    </xf>
    <xf numFmtId="0" fontId="24" fillId="7" borderId="26" xfId="0" applyFont="1" applyFill="1" applyBorder="1" applyAlignment="1">
      <alignment horizontal="center" vertical="top"/>
    </xf>
    <xf numFmtId="0" fontId="24" fillId="7" borderId="27" xfId="0" applyFont="1" applyFill="1" applyBorder="1" applyAlignment="1">
      <alignment horizontal="center" vertical="top"/>
    </xf>
    <xf numFmtId="0" fontId="71" fillId="3" borderId="13" xfId="0" applyFont="1" applyFill="1" applyBorder="1" applyAlignment="1">
      <alignment horizontal="left" vertical="top"/>
    </xf>
    <xf numFmtId="0" fontId="71" fillId="3" borderId="14" xfId="0" applyFont="1" applyFill="1" applyBorder="1" applyAlignment="1">
      <alignment horizontal="left" vertical="top"/>
    </xf>
    <xf numFmtId="0" fontId="40" fillId="2" borderId="9" xfId="0" applyFont="1" applyFill="1" applyBorder="1" applyAlignment="1">
      <alignment horizontal="left" vertical="top" wrapText="1"/>
    </xf>
    <xf numFmtId="0" fontId="40" fillId="2" borderId="10" xfId="0" applyFont="1" applyFill="1" applyBorder="1" applyAlignment="1">
      <alignment horizontal="left" vertical="top" wrapText="1"/>
    </xf>
    <xf numFmtId="0" fontId="40" fillId="2" borderId="11" xfId="0" applyFont="1" applyFill="1" applyBorder="1" applyAlignment="1">
      <alignment horizontal="left" vertical="top" wrapText="1"/>
    </xf>
    <xf numFmtId="0" fontId="62" fillId="22" borderId="25" xfId="8" applyNumberFormat="1" applyFont="1" applyFill="1" applyBorder="1" applyAlignment="1">
      <alignment horizontal="center" vertical="center"/>
    </xf>
    <xf numFmtId="0" fontId="62" fillId="22" borderId="26" xfId="8" applyNumberFormat="1" applyFont="1" applyFill="1" applyBorder="1" applyAlignment="1">
      <alignment horizontal="center" vertical="center"/>
    </xf>
    <xf numFmtId="0" fontId="62" fillId="22" borderId="27" xfId="8" applyNumberFormat="1" applyFont="1" applyFill="1" applyBorder="1" applyAlignment="1">
      <alignment horizontal="center" vertical="center"/>
    </xf>
    <xf numFmtId="0" fontId="62" fillId="9" borderId="25" xfId="8" applyNumberFormat="1" applyFont="1" applyFill="1" applyBorder="1" applyAlignment="1">
      <alignment horizontal="center" vertical="center"/>
    </xf>
    <xf numFmtId="0" fontId="62" fillId="9" borderId="26" xfId="8" applyNumberFormat="1" applyFont="1" applyFill="1" applyBorder="1" applyAlignment="1">
      <alignment horizontal="center" vertical="center"/>
    </xf>
    <xf numFmtId="0" fontId="62" fillId="9" borderId="27" xfId="8" applyNumberFormat="1" applyFont="1" applyFill="1" applyBorder="1" applyAlignment="1">
      <alignment horizontal="center" vertical="center"/>
    </xf>
    <xf numFmtId="0" fontId="62" fillId="23" borderId="26" xfId="8" applyNumberFormat="1" applyFont="1" applyFill="1" applyBorder="1" applyAlignment="1">
      <alignment horizontal="center" vertical="center"/>
    </xf>
    <xf numFmtId="0" fontId="62" fillId="23" borderId="27" xfId="8" applyNumberFormat="1" applyFont="1" applyFill="1" applyBorder="1" applyAlignment="1">
      <alignment horizontal="center" vertical="center"/>
    </xf>
    <xf numFmtId="0" fontId="4" fillId="0" borderId="19" xfId="18" applyFont="1" applyFill="1" applyBorder="1" applyAlignment="1">
      <alignment horizontal="left"/>
    </xf>
    <xf numFmtId="0" fontId="5" fillId="0" borderId="34" xfId="18" applyFont="1" applyFill="1" applyBorder="1" applyAlignment="1">
      <alignment horizontal="left"/>
    </xf>
    <xf numFmtId="0" fontId="4" fillId="0" borderId="18" xfId="18" applyFont="1" applyFill="1" applyBorder="1" applyAlignment="1">
      <alignment horizontal="left"/>
    </xf>
    <xf numFmtId="0" fontId="5" fillId="0" borderId="32" xfId="18" applyFont="1" applyFill="1" applyBorder="1" applyAlignment="1">
      <alignment horizontal="left"/>
    </xf>
    <xf numFmtId="0" fontId="4" fillId="0" borderId="6" xfId="18" applyFont="1" applyFill="1" applyBorder="1" applyAlignment="1">
      <alignment horizontal="left"/>
    </xf>
    <xf numFmtId="0" fontId="5" fillId="0" borderId="33" xfId="18" applyFont="1" applyFill="1" applyBorder="1" applyAlignment="1">
      <alignment horizontal="left"/>
    </xf>
    <xf numFmtId="0" fontId="77" fillId="3" borderId="28" xfId="15" applyFont="1" applyFill="1" applyBorder="1" applyAlignment="1">
      <alignment horizontal="center" vertical="center"/>
    </xf>
    <xf numFmtId="0" fontId="77" fillId="3" borderId="29" xfId="15" applyFont="1" applyFill="1" applyBorder="1" applyAlignment="1">
      <alignment horizontal="center" vertical="center"/>
    </xf>
    <xf numFmtId="0" fontId="73" fillId="7" borderId="15" xfId="0" applyFont="1" applyFill="1" applyBorder="1" applyAlignment="1">
      <alignment horizontal="left" vertical="top"/>
    </xf>
    <xf numFmtId="0" fontId="72" fillId="2" borderId="134" xfId="0" applyFont="1" applyFill="1" applyBorder="1" applyAlignment="1">
      <alignment horizontal="left" vertical="top"/>
    </xf>
    <xf numFmtId="0" fontId="72" fillId="2" borderId="128" xfId="0" applyFont="1" applyFill="1" applyBorder="1" applyAlignment="1">
      <alignment horizontal="left" vertical="top"/>
    </xf>
    <xf numFmtId="164" fontId="72" fillId="2" borderId="18" xfId="0" applyNumberFormat="1" applyFont="1" applyFill="1" applyBorder="1" applyAlignment="1">
      <alignment horizontal="left" vertical="top"/>
    </xf>
    <xf numFmtId="164" fontId="72" fillId="2" borderId="32" xfId="0" applyNumberFormat="1" applyFont="1" applyFill="1" applyBorder="1" applyAlignment="1">
      <alignment horizontal="left" vertical="top"/>
    </xf>
    <xf numFmtId="0" fontId="72" fillId="2" borderId="6" xfId="0" applyFont="1" applyFill="1" applyBorder="1" applyAlignment="1">
      <alignment horizontal="left" vertical="top"/>
    </xf>
    <xf numFmtId="0" fontId="73" fillId="0" borderId="33" xfId="0" applyFont="1" applyFill="1" applyBorder="1" applyAlignment="1">
      <alignment horizontal="left" vertical="top"/>
    </xf>
    <xf numFmtId="0" fontId="70" fillId="2" borderId="7" xfId="0" applyFont="1" applyFill="1" applyBorder="1" applyAlignment="1">
      <alignment horizontal="left" vertical="top"/>
    </xf>
    <xf numFmtId="0" fontId="73" fillId="0" borderId="133" xfId="0" applyFont="1" applyFill="1" applyBorder="1" applyAlignment="1">
      <alignment horizontal="left" vertical="top"/>
    </xf>
    <xf numFmtId="0" fontId="70" fillId="2" borderId="54" xfId="0" applyFont="1" applyFill="1" applyBorder="1" applyAlignment="1">
      <alignment horizontal="left" vertical="top"/>
    </xf>
    <xf numFmtId="0" fontId="73" fillId="0" borderId="55" xfId="0" applyFont="1" applyFill="1" applyBorder="1" applyAlignment="1">
      <alignment horizontal="left" vertical="top"/>
    </xf>
    <xf numFmtId="0" fontId="70" fillId="7" borderId="13" xfId="0" applyFont="1" applyFill="1" applyBorder="1" applyAlignment="1">
      <alignment horizontal="left" vertical="top"/>
    </xf>
    <xf numFmtId="0" fontId="70" fillId="2" borderId="13" xfId="0" applyFont="1" applyFill="1" applyBorder="1" applyAlignment="1">
      <alignment horizontal="left" vertical="top"/>
    </xf>
    <xf numFmtId="0" fontId="73" fillId="0" borderId="15" xfId="0" applyFont="1" applyFill="1" applyBorder="1" applyAlignment="1">
      <alignment horizontal="left" vertical="top"/>
    </xf>
    <xf numFmtId="0" fontId="38" fillId="2" borderId="9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22" xfId="0" applyFont="1" applyFill="1" applyBorder="1" applyAlignment="1">
      <alignment horizontal="center" vertical="center" wrapText="1"/>
    </xf>
    <xf numFmtId="0" fontId="38" fillId="2" borderId="23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43" fontId="61" fillId="6" borderId="9" xfId="20" applyFont="1" applyFill="1" applyBorder="1" applyAlignment="1">
      <alignment horizontal="center" vertical="center"/>
    </xf>
    <xf numFmtId="43" fontId="61" fillId="6" borderId="11" xfId="20" applyFont="1" applyFill="1" applyBorder="1" applyAlignment="1">
      <alignment horizontal="center" vertical="center"/>
    </xf>
    <xf numFmtId="43" fontId="61" fillId="6" borderId="126" xfId="20" applyFont="1" applyFill="1" applyBorder="1" applyAlignment="1">
      <alignment horizontal="center" vertical="center"/>
    </xf>
    <xf numFmtId="43" fontId="61" fillId="6" borderId="127" xfId="20" applyFont="1" applyFill="1" applyBorder="1" applyAlignment="1">
      <alignment horizontal="center" vertical="center"/>
    </xf>
    <xf numFmtId="0" fontId="60" fillId="22" borderId="25" xfId="15" applyFont="1" applyFill="1" applyBorder="1" applyAlignment="1">
      <alignment horizontal="center"/>
    </xf>
    <xf numFmtId="0" fontId="60" fillId="22" borderId="26" xfId="15" applyFont="1" applyFill="1" applyBorder="1" applyAlignment="1">
      <alignment horizontal="center"/>
    </xf>
    <xf numFmtId="0" fontId="60" fillId="22" borderId="27" xfId="15" applyFont="1" applyFill="1" applyBorder="1" applyAlignment="1">
      <alignment horizontal="center"/>
    </xf>
    <xf numFmtId="0" fontId="57" fillId="22" borderId="25" xfId="15" applyFont="1" applyFill="1" applyBorder="1" applyAlignment="1">
      <alignment horizontal="center"/>
    </xf>
    <xf numFmtId="0" fontId="57" fillId="22" borderId="26" xfId="15" applyFont="1" applyFill="1" applyBorder="1" applyAlignment="1">
      <alignment horizontal="center"/>
    </xf>
    <xf numFmtId="0" fontId="57" fillId="22" borderId="27" xfId="15" applyFont="1" applyFill="1" applyBorder="1" applyAlignment="1">
      <alignment horizontal="center"/>
    </xf>
    <xf numFmtId="0" fontId="56" fillId="22" borderId="25" xfId="15" applyFont="1" applyFill="1" applyBorder="1" applyAlignment="1">
      <alignment horizontal="center"/>
    </xf>
    <xf numFmtId="0" fontId="56" fillId="22" borderId="26" xfId="15" applyFont="1" applyFill="1" applyBorder="1" applyAlignment="1">
      <alignment horizontal="center"/>
    </xf>
    <xf numFmtId="0" fontId="56" fillId="22" borderId="27" xfId="15" applyFont="1" applyFill="1" applyBorder="1" applyAlignment="1">
      <alignment horizontal="center"/>
    </xf>
    <xf numFmtId="0" fontId="25" fillId="0" borderId="9" xfId="19" applyFill="1" applyBorder="1" applyAlignment="1">
      <alignment horizontal="center"/>
    </xf>
    <xf numFmtId="0" fontId="25" fillId="0" borderId="10" xfId="19" applyFill="1" applyBorder="1" applyAlignment="1">
      <alignment horizontal="center"/>
    </xf>
    <xf numFmtId="0" fontId="25" fillId="0" borderId="11" xfId="19" applyFill="1" applyBorder="1" applyAlignment="1">
      <alignment horizontal="center"/>
    </xf>
    <xf numFmtId="164" fontId="55" fillId="0" borderId="25" xfId="23" applyNumberFormat="1" applyFont="1" applyBorder="1" applyAlignment="1">
      <alignment horizontal="center" vertical="center"/>
    </xf>
    <xf numFmtId="164" fontId="55" fillId="0" borderId="26" xfId="23" applyNumberFormat="1" applyFont="1" applyBorder="1" applyAlignment="1">
      <alignment horizontal="center" vertical="center"/>
    </xf>
    <xf numFmtId="164" fontId="55" fillId="0" borderId="27" xfId="23" applyNumberFormat="1" applyFont="1" applyBorder="1" applyAlignment="1">
      <alignment horizontal="center" vertical="center"/>
    </xf>
  </cellXfs>
  <cellStyles count="24">
    <cellStyle name="Comma" xfId="1" builtinId="3"/>
    <cellStyle name="Comma 2" xfId="5"/>
    <cellStyle name="Comma 2 2" xfId="20"/>
    <cellStyle name="Comma 3" xfId="9"/>
    <cellStyle name="Comma 4" xfId="11"/>
    <cellStyle name="Comma 5" xfId="14"/>
    <cellStyle name="Comma 6" xfId="23"/>
    <cellStyle name="Currency 2" xfId="16"/>
    <cellStyle name="Followed Hyperlink" xfId="7" builtinId="9" hidden="1"/>
    <cellStyle name="Hyperlink" xfId="6" builtinId="8" hidden="1"/>
    <cellStyle name="Hyperlink" xfId="22" builtinId="8"/>
    <cellStyle name="Normal" xfId="0" builtinId="0"/>
    <cellStyle name="Normal 2" xfId="2"/>
    <cellStyle name="Normal 2 2" xfId="19"/>
    <cellStyle name="Normal 3" xfId="4"/>
    <cellStyle name="Normal 4" xfId="8"/>
    <cellStyle name="Normal 5" xfId="12"/>
    <cellStyle name="Normal 6" xfId="13"/>
    <cellStyle name="Normal 7" xfId="15"/>
    <cellStyle name="Normal 8" xfId="18"/>
    <cellStyle name="Normal 9" xfId="21"/>
    <cellStyle name="Percent" xfId="3" builtinId="5"/>
    <cellStyle name="Percent 2" xfId="10"/>
    <cellStyle name="Percent 3" xfId="17"/>
  </cellStyles>
  <dxfs count="50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FFFFFF"/>
      <color rgb="FFE6E8E6"/>
      <color rgb="FFFF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rgbClr val="0000FF"/>
                </a:solidFill>
                <a:latin typeface="+mn-lt"/>
              </a:defRPr>
            </a:pPr>
            <a:r>
              <a:rPr lang="en-US" sz="1050">
                <a:solidFill>
                  <a:srgbClr val="0000FF"/>
                </a:solidFill>
                <a:latin typeface="+mn-lt"/>
              </a:rPr>
              <a:t>Key Expenses</a:t>
            </a:r>
          </a:p>
        </c:rich>
      </c:tx>
      <c:overlay val="0"/>
      <c:spPr>
        <a:solidFill>
          <a:schemeClr val="bg1">
            <a:lumMod val="75000"/>
          </a:schemeClr>
        </a:solidFill>
        <a:ln w="15875">
          <a:solidFill>
            <a:srgbClr val="0000FF"/>
          </a:solidFill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'Raw Data'!$B$9</c:f>
              <c:strCache>
                <c:ptCount val="1"/>
                <c:pt idx="0">
                  <c:v>R&amp;M RELATED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'Raw Data'!$C$96:$I$96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Data'!$C$9:$I$9</c:f>
              <c:numCache>
                <c:formatCode>_(* #,##0_);_(* \(#,##0\);_(* "-"??_);_(@_)</c:formatCode>
                <c:ptCount val="7"/>
                <c:pt idx="0">
                  <c:v>7116.9</c:v>
                </c:pt>
                <c:pt idx="1">
                  <c:v>4977.78</c:v>
                </c:pt>
                <c:pt idx="2">
                  <c:v>4994.24</c:v>
                </c:pt>
                <c:pt idx="3">
                  <c:v>6778.4599999999991</c:v>
                </c:pt>
                <c:pt idx="4">
                  <c:v>4836.1499999999996</c:v>
                </c:pt>
                <c:pt idx="5">
                  <c:v>4422.33</c:v>
                </c:pt>
                <c:pt idx="6">
                  <c:v>5186.2700000000004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9-4BE4-9F0F-13AFA234EA07}"/>
            </c:ext>
          </c:extLst>
        </c:ser>
        <c:ser>
          <c:idx val="1"/>
          <c:order val="1"/>
          <c:tx>
            <c:strRef>
              <c:f>'Raw Data'!$B$12</c:f>
              <c:strCache>
                <c:ptCount val="1"/>
                <c:pt idx="0">
                  <c:v>MANAGEMENT FEE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'Raw Data'!$C$96:$I$96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Data'!$C$12:$I$12</c:f>
              <c:numCache>
                <c:formatCode>_(* #,##0_);_(* \(#,##0\);_(* "-"??_);_(@_)</c:formatCode>
                <c:ptCount val="7"/>
                <c:pt idx="0">
                  <c:v>5682.73</c:v>
                </c:pt>
                <c:pt idx="1">
                  <c:v>4945.6099999999997</c:v>
                </c:pt>
                <c:pt idx="2">
                  <c:v>4219.8</c:v>
                </c:pt>
                <c:pt idx="3">
                  <c:v>4798.78</c:v>
                </c:pt>
                <c:pt idx="4">
                  <c:v>4924.9799999999996</c:v>
                </c:pt>
                <c:pt idx="5">
                  <c:v>4708.0200000000004</c:v>
                </c:pt>
                <c:pt idx="6">
                  <c:v>5859.7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9-4BE4-9F0F-13AFA234EA07}"/>
            </c:ext>
          </c:extLst>
        </c:ser>
        <c:ser>
          <c:idx val="2"/>
          <c:order val="2"/>
          <c:tx>
            <c:strRef>
              <c:f>'Raw Data'!$B$14</c:f>
              <c:strCache>
                <c:ptCount val="1"/>
                <c:pt idx="0">
                  <c:v>REAL ESTATE TAXES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'Raw Data'!$C$96:$I$96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Data'!$C$14:$I$14</c:f>
              <c:numCache>
                <c:formatCode>_(* #,##0_);_(* \(#,##0\);_(* "-"??_);_(@_)</c:formatCode>
                <c:ptCount val="7"/>
                <c:pt idx="0">
                  <c:v>19432.64</c:v>
                </c:pt>
                <c:pt idx="1">
                  <c:v>19432.64</c:v>
                </c:pt>
                <c:pt idx="2">
                  <c:v>19432.64</c:v>
                </c:pt>
                <c:pt idx="3">
                  <c:v>19432.64</c:v>
                </c:pt>
                <c:pt idx="4">
                  <c:v>19432.64</c:v>
                </c:pt>
                <c:pt idx="5">
                  <c:v>19432.63</c:v>
                </c:pt>
                <c:pt idx="6">
                  <c:v>19821.29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79-4BE4-9F0F-13AFA234EA07}"/>
            </c:ext>
          </c:extLst>
        </c:ser>
        <c:ser>
          <c:idx val="3"/>
          <c:order val="3"/>
          <c:tx>
            <c:strRef>
              <c:f>'Raw Data'!$B$17</c:f>
              <c:strCache>
                <c:ptCount val="1"/>
                <c:pt idx="0">
                  <c:v>PAYROLL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'Raw Data'!$C$96:$I$96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Data'!$C$17:$I$17</c:f>
              <c:numCache>
                <c:formatCode>_(* #,##0_);_(* \(#,##0\);_(* "-"??_);_(@_)</c:formatCode>
                <c:ptCount val="7"/>
                <c:pt idx="0">
                  <c:v>12064.61</c:v>
                </c:pt>
                <c:pt idx="1">
                  <c:v>10852.23</c:v>
                </c:pt>
                <c:pt idx="2">
                  <c:v>10940</c:v>
                </c:pt>
                <c:pt idx="3">
                  <c:v>9628.5</c:v>
                </c:pt>
                <c:pt idx="4">
                  <c:v>9872.5300000000007</c:v>
                </c:pt>
                <c:pt idx="5">
                  <c:v>10642.85</c:v>
                </c:pt>
                <c:pt idx="6">
                  <c:v>10858.75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79-4BE4-9F0F-13AFA234EA07}"/>
            </c:ext>
          </c:extLst>
        </c:ser>
        <c:ser>
          <c:idx val="4"/>
          <c:order val="4"/>
          <c:tx>
            <c:strRef>
              <c:f>'Raw Data'!$B$129</c:f>
              <c:strCache>
                <c:ptCount val="1"/>
                <c:pt idx="0">
                  <c:v>INTEREST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'Raw Data'!$C$96:$I$96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Data'!$C$129:$I$129</c:f>
              <c:numCache>
                <c:formatCode>_(* #,##0_);_(* \(#,##0\);_(* "-"??_);_(@_)</c:formatCode>
                <c:ptCount val="7"/>
                <c:pt idx="0">
                  <c:v>68067.73</c:v>
                </c:pt>
                <c:pt idx="1">
                  <c:v>61480.53</c:v>
                </c:pt>
                <c:pt idx="2">
                  <c:v>68067.73</c:v>
                </c:pt>
                <c:pt idx="3">
                  <c:v>65872</c:v>
                </c:pt>
                <c:pt idx="4">
                  <c:v>68067.73</c:v>
                </c:pt>
                <c:pt idx="5">
                  <c:v>65872</c:v>
                </c:pt>
                <c:pt idx="6">
                  <c:v>68067.73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79-4BE4-9F0F-13AFA234EA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242635856"/>
        <c:axId val="-242634080"/>
        <c:extLst/>
      </c:barChart>
      <c:catAx>
        <c:axId val="-24263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Arial" charset="0"/>
                <a:cs typeface="Arial" charset="0"/>
              </a:defRPr>
            </a:pPr>
            <a:endParaRPr lang="en-US"/>
          </a:p>
        </c:txPr>
        <c:crossAx val="-242634080"/>
        <c:crossesAt val="0"/>
        <c:auto val="1"/>
        <c:lblAlgn val="ctr"/>
        <c:lblOffset val="100"/>
        <c:noMultiLvlLbl val="0"/>
      </c:catAx>
      <c:valAx>
        <c:axId val="-24263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" charset="0"/>
                <a:cs typeface="Arial" charset="0"/>
              </a:defRPr>
            </a:pPr>
            <a:endParaRPr lang="en-US"/>
          </a:p>
        </c:txPr>
        <c:crossAx val="-242635856"/>
        <c:crosses val="autoZero"/>
        <c:crossBetween val="between"/>
      </c:valAx>
      <c:spPr>
        <a:noFill/>
        <a:ln w="15875"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 w="12700"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FF"/>
              </a:solidFill>
              <a:latin typeface="+mn-lt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C00000"/>
      </a:solidFill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sng" baseline="0">
                <a:solidFill>
                  <a:srgbClr val="0000FF"/>
                </a:solidFill>
                <a:effectLst/>
              </a:rPr>
              <a:t>FINANCIAL DASHBOARD (PER UNIT BASIS)  </a:t>
            </a:r>
            <a:endParaRPr lang="en-US" sz="1050">
              <a:solidFill>
                <a:srgbClr val="0000FF"/>
              </a:solidFill>
              <a:effectLst/>
            </a:endParaRPr>
          </a:p>
        </c:rich>
      </c:tx>
      <c:layout>
        <c:manualLayout>
          <c:xMode val="edge"/>
          <c:yMode val="edge"/>
          <c:x val="0.30635378706071897"/>
          <c:y val="2.263318921761850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 w="15875">
          <a:solidFill>
            <a:srgbClr val="0000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 w="15875">
          <a:solidFill>
            <a:srgbClr val="0000FF"/>
          </a:solidFill>
        </a:ln>
      </c:spPr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'Key Dashboards-July 2017'!$L$122</c:f>
              <c:strCache>
                <c:ptCount val="1"/>
                <c:pt idx="0">
                  <c:v>JULY UNIT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8169020332487599E-2"/>
                  <c:y val="-9.3219286987880197E-17"/>
                </c:manualLayout>
              </c:layout>
              <c:tx>
                <c:rich>
                  <a:bodyPr/>
                  <a:lstStyle/>
                  <a:p>
                    <a:fld id="{E2F74652-58F6-477B-96F7-4AC08DE74C9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402-480D-B64A-AECDE5576770}"/>
                </c:ext>
              </c:extLst>
            </c:dLbl>
            <c:dLbl>
              <c:idx val="1"/>
              <c:layout>
                <c:manualLayout>
                  <c:x val="-2.2535216265990098E-2"/>
                  <c:y val="0"/>
                </c:manualLayout>
              </c:layout>
              <c:tx>
                <c:rich>
                  <a:bodyPr/>
                  <a:lstStyle/>
                  <a:p>
                    <a:fld id="{A4B761ED-DFF6-45BC-9430-3CEFD118F55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402-480D-B64A-AECDE5576770}"/>
                </c:ext>
              </c:extLst>
            </c:dLbl>
            <c:dLbl>
              <c:idx val="2"/>
              <c:layout>
                <c:manualLayout>
                  <c:x val="-1.9718314232741299E-2"/>
                  <c:y val="0"/>
                </c:manualLayout>
              </c:layout>
              <c:tx>
                <c:rich>
                  <a:bodyPr/>
                  <a:lstStyle/>
                  <a:p>
                    <a:fld id="{556EFED7-DEFE-4F92-829B-9B50F9D52C6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402-480D-B64A-AECDE5576770}"/>
                </c:ext>
              </c:extLst>
            </c:dLbl>
            <c:dLbl>
              <c:idx val="3"/>
              <c:layout>
                <c:manualLayout>
                  <c:x val="-2.2535216265990098E-2"/>
                  <c:y val="0"/>
                </c:manualLayout>
              </c:layout>
              <c:tx>
                <c:rich>
                  <a:bodyPr/>
                  <a:lstStyle/>
                  <a:p>
                    <a:fld id="{ABBB18E5-5F28-42CE-82D5-6EAEC220F74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402-480D-B64A-AECDE55767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('Key Dashboards-July 2017'!$C$126,'Key Dashboards-July 2017'!$C$139,'Key Dashboards-July 2017'!$C$141,'Key Dashboards-July 2017'!$C$148)</c:f>
              <c:strCache>
                <c:ptCount val="4"/>
                <c:pt idx="0">
                  <c:v>TOTAL INCOME</c:v>
                </c:pt>
                <c:pt idx="1">
                  <c:v>TOTAL OPERATING EXPENSES</c:v>
                </c:pt>
                <c:pt idx="2">
                  <c:v>NET OPERATING INCOME</c:v>
                </c:pt>
                <c:pt idx="3">
                  <c:v>NET INCOME</c:v>
                </c:pt>
              </c:strCache>
            </c:strRef>
          </c:cat>
          <c:val>
            <c:numRef>
              <c:f>('Key Dashboards-July 2017'!$L$126,'Key Dashboards-July 2017'!$L$139,'Key Dashboards-July 2017'!$L$141,'Key Dashboards-July 2017'!$L$148)</c:f>
              <c:numCache>
                <c:formatCode>_(* #,##0_);_(* \(#,##0\);_(* "-"??_);_(@_)</c:formatCode>
                <c:ptCount val="4"/>
                <c:pt idx="0">
                  <c:v>9726.0168000000012</c:v>
                </c:pt>
                <c:pt idx="1">
                  <c:v>1159.8651923076923</c:v>
                </c:pt>
                <c:pt idx="2">
                  <c:v>8566.151607692309</c:v>
                </c:pt>
                <c:pt idx="3">
                  <c:v>7227.5119923076936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02-480D-B64A-AECDE5576770}"/>
            </c:ext>
          </c:extLst>
        </c:ser>
        <c:ser>
          <c:idx val="0"/>
          <c:order val="1"/>
          <c:tx>
            <c:strRef>
              <c:f>'Key Dashboards-July 2017'!$N$122</c:f>
              <c:strCache>
                <c:ptCount val="1"/>
                <c:pt idx="0">
                  <c:v>JULY YTD (UNIT)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2017'!$C$126,'Key Dashboards-July 2017'!$C$139,'Key Dashboards-July 2017'!$C$141,'Key Dashboards-July 2017'!$C$148)</c:f>
              <c:strCache>
                <c:ptCount val="4"/>
                <c:pt idx="0">
                  <c:v>TOTAL INCOME</c:v>
                </c:pt>
                <c:pt idx="1">
                  <c:v>TOTAL OPERATING EXPENSES</c:v>
                </c:pt>
                <c:pt idx="2">
                  <c:v>NET OPERATING INCOME</c:v>
                </c:pt>
                <c:pt idx="3">
                  <c:v>NET INCOME</c:v>
                </c:pt>
              </c:strCache>
            </c:strRef>
          </c:cat>
          <c:val>
            <c:numRef>
              <c:f>('Key Dashboards-July 2017'!$N$126,'Key Dashboards-July 2017'!$N$139,'Key Dashboards-July 2017'!$N$141,'Key Dashboards-July 2017'!$N$148)</c:f>
              <c:numCache>
                <c:formatCode>_(* #,##0_);_(* \(#,##0\);_(* "-"??_);_(@_)</c:formatCode>
                <c:ptCount val="4"/>
                <c:pt idx="0">
                  <c:v>66879.83</c:v>
                </c:pt>
                <c:pt idx="1">
                  <c:v>6994.6590384615383</c:v>
                </c:pt>
                <c:pt idx="2">
                  <c:v>59885.170961538461</c:v>
                </c:pt>
                <c:pt idx="3">
                  <c:v>50406.353461538463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02-480D-B64A-AECDE55767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9343872"/>
        <c:axId val="-239341552"/>
        <c:axId val="0"/>
      </c:bar3DChart>
      <c:catAx>
        <c:axId val="-2393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50" b="1" baseline="0">
                <a:solidFill>
                  <a:srgbClr val="0000FF"/>
                </a:solidFill>
              </a:defRPr>
            </a:pPr>
            <a:endParaRPr lang="en-US"/>
          </a:p>
        </c:txPr>
        <c:crossAx val="-239341552"/>
        <c:crosses val="autoZero"/>
        <c:auto val="1"/>
        <c:lblAlgn val="ctr"/>
        <c:lblOffset val="100"/>
        <c:noMultiLvlLbl val="0"/>
      </c:catAx>
      <c:valAx>
        <c:axId val="-239341552"/>
        <c:scaling>
          <c:orientation val="minMax"/>
        </c:scaling>
        <c:delete val="0"/>
        <c:axPos val="l"/>
        <c:majorGridlines>
          <c:spPr>
            <a:ln w="9525"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-239343872"/>
        <c:crosses val="autoZero"/>
        <c:crossBetween val="between"/>
        <c:majorUnit val="10000"/>
        <c:minorUnit val="5000"/>
      </c:valAx>
    </c:plotArea>
    <c:legend>
      <c:legendPos val="r"/>
      <c:layout/>
      <c:overlay val="0"/>
      <c:txPr>
        <a:bodyPr/>
        <a:lstStyle/>
        <a:p>
          <a:pPr>
            <a:defRPr sz="800" b="1" baseline="0">
              <a:solidFill>
                <a:srgbClr val="0000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19050">
      <a:solidFill>
        <a:srgbClr val="0000FF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sng" baseline="0">
                <a:solidFill>
                  <a:srgbClr val="0000FF"/>
                </a:solidFill>
                <a:effectLst/>
              </a:rPr>
              <a:t>KEY EXPENSES  </a:t>
            </a:r>
            <a:endParaRPr lang="en-US" sz="1050">
              <a:solidFill>
                <a:srgbClr val="0000FF"/>
              </a:solidFill>
              <a:effectLst/>
            </a:endParaRPr>
          </a:p>
        </c:rich>
      </c:tx>
      <c:layout>
        <c:manualLayout>
          <c:xMode val="edge"/>
          <c:yMode val="edge"/>
          <c:x val="0.376046529259496"/>
          <c:y val="3.811227051789790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6">
            <a:lumMod val="40000"/>
            <a:lumOff val="60000"/>
          </a:schemeClr>
        </a:solidFill>
        <a:ln w="15875">
          <a:solidFill>
            <a:srgbClr val="0000FF"/>
          </a:solidFill>
        </a:ln>
      </c:spPr>
    </c:sideWall>
    <c:backWall>
      <c:thickness val="0"/>
      <c:spPr>
        <a:solidFill>
          <a:schemeClr val="accent6">
            <a:lumMod val="40000"/>
            <a:lumOff val="60000"/>
          </a:schemeClr>
        </a:solidFill>
        <a:ln w="15875">
          <a:solidFill>
            <a:srgbClr val="0000FF"/>
          </a:solidFill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'Key Dashboards-July 2017'!$D$121:$D$122</c:f>
              <c:strCache>
                <c:ptCount val="2"/>
                <c:pt idx="0">
                  <c:v>JULY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2017'!$C$130,'Key Dashboards-July 2017'!$C$131,'Key Dashboards-July 2017'!$C$132,'Key Dashboards-July 2017'!$C$133,'Key Dashboards-July 2017'!$C$135,'Key Dashboards-July 2017'!$C$138)</c:f>
              <c:strCache>
                <c:ptCount val="6"/>
                <c:pt idx="0">
                  <c:v>R&amp;M RELATED</c:v>
                </c:pt>
                <c:pt idx="1">
                  <c:v>UTILITIES</c:v>
                </c:pt>
                <c:pt idx="2">
                  <c:v>ADVERTISING &amp; PROMOTION</c:v>
                </c:pt>
                <c:pt idx="3">
                  <c:v>MANAGEMENT FEE EXPENSE</c:v>
                </c:pt>
                <c:pt idx="4">
                  <c:v>REAL ESTATE TAXES</c:v>
                </c:pt>
                <c:pt idx="5">
                  <c:v>PAYROLL EXPENSE</c:v>
                </c:pt>
              </c:strCache>
            </c:strRef>
          </c:cat>
          <c:val>
            <c:numRef>
              <c:f>('Key Dashboards-July 2017'!$D$130,'Key Dashboards-July 2017'!$D$131,'Key Dashboards-July 2017'!$D$132,'Key Dashboards-July 2017'!$D$133,'Key Dashboards-July 2017'!$D$135,'Key Dashboards-July 2017'!$D$138)</c:f>
              <c:numCache>
                <c:formatCode>_(* #,##0_);_(* \(#,##0\);_(* "-"??_);_(@_)</c:formatCode>
                <c:ptCount val="6"/>
                <c:pt idx="0">
                  <c:v>5186.2700000000004</c:v>
                </c:pt>
                <c:pt idx="1">
                  <c:v>5862.95</c:v>
                </c:pt>
                <c:pt idx="2">
                  <c:v>6129.36</c:v>
                </c:pt>
                <c:pt idx="3">
                  <c:v>5859.7</c:v>
                </c:pt>
                <c:pt idx="4">
                  <c:v>19821.29</c:v>
                </c:pt>
                <c:pt idx="5">
                  <c:v>10858.75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9-423F-BBED-696FC8772396}"/>
            </c:ext>
          </c:extLst>
        </c:ser>
        <c:ser>
          <c:idx val="1"/>
          <c:order val="1"/>
          <c:tx>
            <c:strRef>
              <c:f>'Key Dashboards-July 2017'!$G$121</c:f>
              <c:strCache>
                <c:ptCount val="1"/>
                <c:pt idx="0">
                  <c:v>JULY YTD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2017'!$C$130,'Key Dashboards-July 2017'!$C$131,'Key Dashboards-July 2017'!$C$132,'Key Dashboards-July 2017'!$C$133,'Key Dashboards-July 2017'!$C$135,'Key Dashboards-July 2017'!$C$138)</c:f>
              <c:strCache>
                <c:ptCount val="6"/>
                <c:pt idx="0">
                  <c:v>R&amp;M RELATED</c:v>
                </c:pt>
                <c:pt idx="1">
                  <c:v>UTILITIES</c:v>
                </c:pt>
                <c:pt idx="2">
                  <c:v>ADVERTISING &amp; PROMOTION</c:v>
                </c:pt>
                <c:pt idx="3">
                  <c:v>MANAGEMENT FEE EXPENSE</c:v>
                </c:pt>
                <c:pt idx="4">
                  <c:v>REAL ESTATE TAXES</c:v>
                </c:pt>
                <c:pt idx="5">
                  <c:v>PAYROLL EXPENSE</c:v>
                </c:pt>
              </c:strCache>
            </c:strRef>
          </c:cat>
          <c:val>
            <c:numRef>
              <c:f>('Key Dashboards-July 2017'!$G$130,'Key Dashboards-July 2017'!$G$131,'Key Dashboards-July 2017'!$G$132,'Key Dashboards-July 2017'!$G$133,'Key Dashboards-July 2017'!$G$135,'Key Dashboards-July 2017'!$G$138)</c:f>
              <c:numCache>
                <c:formatCode>_(* #,##0_);_(* \(#,##0\);_(* "-"??_);_(@_)</c:formatCode>
                <c:ptCount val="6"/>
                <c:pt idx="0">
                  <c:v>38312.130000000005</c:v>
                </c:pt>
                <c:pt idx="1">
                  <c:v>30484.15</c:v>
                </c:pt>
                <c:pt idx="2">
                  <c:v>15857.08</c:v>
                </c:pt>
                <c:pt idx="3">
                  <c:v>35139.620000000003</c:v>
                </c:pt>
                <c:pt idx="4">
                  <c:v>136417.12</c:v>
                </c:pt>
                <c:pt idx="5">
                  <c:v>74859.47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9-423F-BBED-696FC87723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9334000"/>
        <c:axId val="-239331680"/>
        <c:axId val="0"/>
      </c:bar3DChart>
      <c:catAx>
        <c:axId val="-239334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 b="1" baseline="0">
                <a:solidFill>
                  <a:srgbClr val="0000FF"/>
                </a:solidFill>
              </a:defRPr>
            </a:pPr>
            <a:endParaRPr lang="en-US"/>
          </a:p>
        </c:txPr>
        <c:crossAx val="-239331680"/>
        <c:crosses val="autoZero"/>
        <c:auto val="1"/>
        <c:lblAlgn val="ctr"/>
        <c:lblOffset val="100"/>
        <c:noMultiLvlLbl val="0"/>
      </c:catAx>
      <c:valAx>
        <c:axId val="-2393316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rgbClr val="0000FF"/>
                </a:solidFill>
              </a:defRPr>
            </a:pPr>
            <a:endParaRPr lang="en-US"/>
          </a:p>
        </c:txPr>
        <c:crossAx val="-239334000"/>
        <c:crosses val="autoZero"/>
        <c:crossBetween val="between"/>
        <c:majorUnit val="15000"/>
        <c:minorUnit val="1000"/>
      </c:valAx>
    </c:plotArea>
    <c:legend>
      <c:legendPos val="r"/>
      <c:layout/>
      <c:overlay val="0"/>
      <c:txPr>
        <a:bodyPr/>
        <a:lstStyle/>
        <a:p>
          <a:pPr>
            <a:defRPr sz="900" b="1" baseline="0">
              <a:solidFill>
                <a:srgbClr val="0000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solidFill>
        <a:srgbClr val="0000FF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sng" baseline="0">
                <a:solidFill>
                  <a:srgbClr val="0000FF"/>
                </a:solidFill>
                <a:effectLst/>
              </a:rPr>
              <a:t>KEY EXPENSES (PER SQFT BASIS) </a:t>
            </a:r>
            <a:endParaRPr lang="en-US" sz="1050">
              <a:solidFill>
                <a:srgbClr val="0000FF"/>
              </a:solidFill>
              <a:effectLst/>
            </a:endParaRPr>
          </a:p>
        </c:rich>
      </c:tx>
      <c:layout>
        <c:manualLayout>
          <c:xMode val="edge"/>
          <c:yMode val="edge"/>
          <c:x val="0.30635378706071897"/>
          <c:y val="2.263318921761850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6">
            <a:lumMod val="20000"/>
            <a:lumOff val="80000"/>
          </a:schemeClr>
        </a:solidFill>
        <a:ln w="15875">
          <a:solidFill>
            <a:srgbClr val="0000FF"/>
          </a:solidFill>
        </a:ln>
      </c:spPr>
    </c:sideWall>
    <c:backWall>
      <c:thickness val="0"/>
      <c:spPr>
        <a:solidFill>
          <a:schemeClr val="accent6">
            <a:lumMod val="20000"/>
            <a:lumOff val="80000"/>
          </a:schemeClr>
        </a:solidFill>
        <a:ln w="15875">
          <a:solidFill>
            <a:srgbClr val="0000FF"/>
          </a:solidFill>
        </a:ln>
      </c:spPr>
    </c:backWall>
    <c:plotArea>
      <c:layout>
        <c:manualLayout>
          <c:layoutTarget val="inner"/>
          <c:xMode val="edge"/>
          <c:yMode val="edge"/>
          <c:x val="8.3313325589795803E-2"/>
          <c:y val="0.14064114107825901"/>
          <c:w val="0.76794202408440004"/>
          <c:h val="0.73536629486928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'Key Dashboards-July 2017'!$I$122</c:f>
              <c:strCache>
                <c:ptCount val="1"/>
                <c:pt idx="0">
                  <c:v>JULY SQFT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2017'!$C$130,'Key Dashboards-July 2017'!$C$131,'Key Dashboards-July 2017'!$C$132,'Key Dashboards-July 2017'!$C$133,'Key Dashboards-July 2017'!$C$135,'Key Dashboards-July 2017'!$C$138)</c:f>
              <c:strCache>
                <c:ptCount val="6"/>
                <c:pt idx="0">
                  <c:v>R&amp;M RELATED</c:v>
                </c:pt>
                <c:pt idx="1">
                  <c:v>UTILITIES</c:v>
                </c:pt>
                <c:pt idx="2">
                  <c:v>ADVERTISING &amp; PROMOTION</c:v>
                </c:pt>
                <c:pt idx="3">
                  <c:v>MANAGEMENT FEE EXPENSE</c:v>
                </c:pt>
                <c:pt idx="4">
                  <c:v>REAL ESTATE TAXES</c:v>
                </c:pt>
                <c:pt idx="5">
                  <c:v>PAYROLL EXPENSE</c:v>
                </c:pt>
              </c:strCache>
            </c:strRef>
          </c:cat>
          <c:val>
            <c:numRef>
              <c:f>('Key Dashboards-July 2017'!$I$130,'Key Dashboards-July 2017'!$I$131,'Key Dashboards-July 2017'!$I$132,'Key Dashboards-July 2017'!$I$133,'Key Dashboards-July 2017'!$I$135,'Key Dashboards-July 2017'!$I$138)</c:f>
              <c:numCache>
                <c:formatCode>_(* #,##0.0_);_(* \(#,##0.0\);_(* "-"??_);_(@_)</c:formatCode>
                <c:ptCount val="6"/>
                <c:pt idx="0">
                  <c:v>0.13118837426959756</c:v>
                </c:pt>
                <c:pt idx="1">
                  <c:v>0.1483052133660486</c:v>
                </c:pt>
                <c:pt idx="2">
                  <c:v>0.1550441403384514</c:v>
                </c:pt>
                <c:pt idx="3">
                  <c:v>0.14822300356664053</c:v>
                </c:pt>
                <c:pt idx="4">
                  <c:v>0.50138593074140592</c:v>
                </c:pt>
                <c:pt idx="5">
                  <c:v>0.27467558748387422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4-4FB7-9B57-F80ED870F772}"/>
            </c:ext>
          </c:extLst>
        </c:ser>
        <c:ser>
          <c:idx val="1"/>
          <c:order val="1"/>
          <c:tx>
            <c:strRef>
              <c:f>'Key Dashboards-July 2017'!$K$122</c:f>
              <c:strCache>
                <c:ptCount val="1"/>
                <c:pt idx="0">
                  <c:v>JULY YTD (SQFT)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2017'!$C$130,'Key Dashboards-July 2017'!$C$131,'Key Dashboards-July 2017'!$C$132,'Key Dashboards-July 2017'!$C$133,'Key Dashboards-July 2017'!$C$135,'Key Dashboards-July 2017'!$C$138)</c:f>
              <c:strCache>
                <c:ptCount val="6"/>
                <c:pt idx="0">
                  <c:v>R&amp;M RELATED</c:v>
                </c:pt>
                <c:pt idx="1">
                  <c:v>UTILITIES</c:v>
                </c:pt>
                <c:pt idx="2">
                  <c:v>ADVERTISING &amp; PROMOTION</c:v>
                </c:pt>
                <c:pt idx="3">
                  <c:v>MANAGEMENT FEE EXPENSE</c:v>
                </c:pt>
                <c:pt idx="4">
                  <c:v>REAL ESTATE TAXES</c:v>
                </c:pt>
                <c:pt idx="5">
                  <c:v>PAYROLL EXPENSE</c:v>
                </c:pt>
              </c:strCache>
            </c:strRef>
          </c:cat>
          <c:val>
            <c:numRef>
              <c:f>('Key Dashboards-July 2017'!$K$130,'Key Dashboards-July 2017'!$K$131,'Key Dashboards-July 2017'!$K$132,'Key Dashboards-July 2017'!$K$133,'Key Dashboards-July 2017'!$K$135,'Key Dashboards-July 2017'!$K$138)</c:f>
              <c:numCache>
                <c:formatCode>_(* #,##0.0_);_(* \(#,##0.0\);_(* "-"??_);_(@_)</c:formatCode>
                <c:ptCount val="6"/>
                <c:pt idx="0">
                  <c:v>0.96911769913742962</c:v>
                </c:pt>
                <c:pt idx="1">
                  <c:v>0.77110641742341846</c:v>
                </c:pt>
                <c:pt idx="2">
                  <c:v>0.40110995876862365</c:v>
                </c:pt>
                <c:pt idx="3">
                  <c:v>0.88886803430045791</c:v>
                </c:pt>
                <c:pt idx="4">
                  <c:v>3.4507150987782356</c:v>
                </c:pt>
                <c:pt idx="5">
                  <c:v>1.8935944653833507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4-4FB7-9B57-F80ED870F7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9817792"/>
        <c:axId val="-239815472"/>
        <c:axId val="0"/>
      </c:bar3DChart>
      <c:catAx>
        <c:axId val="-239817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 b="1" baseline="0">
                <a:solidFill>
                  <a:srgbClr val="0000FF"/>
                </a:solidFill>
              </a:defRPr>
            </a:pPr>
            <a:endParaRPr lang="en-US"/>
          </a:p>
        </c:txPr>
        <c:crossAx val="-239815472"/>
        <c:crosses val="autoZero"/>
        <c:auto val="1"/>
        <c:lblAlgn val="ctr"/>
        <c:lblOffset val="100"/>
        <c:noMultiLvlLbl val="0"/>
      </c:catAx>
      <c:valAx>
        <c:axId val="-23981547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0000FF"/>
                </a:solidFill>
              </a:defRPr>
            </a:pPr>
            <a:endParaRPr lang="en-US"/>
          </a:p>
        </c:txPr>
        <c:crossAx val="-239817792"/>
        <c:crossesAt val="1"/>
        <c:crossBetween val="between"/>
        <c:majorUnit val="0.5"/>
        <c:minorUnit val="0.1"/>
      </c:valAx>
    </c:plotArea>
    <c:legend>
      <c:legendPos val="r"/>
      <c:layout/>
      <c:overlay val="0"/>
      <c:txPr>
        <a:bodyPr/>
        <a:lstStyle/>
        <a:p>
          <a:pPr>
            <a:defRPr sz="900" b="1" baseline="0">
              <a:solidFill>
                <a:srgbClr val="0000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w="19050">
      <a:solidFill>
        <a:srgbClr val="0000FF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u="sng">
                <a:solidFill>
                  <a:srgbClr val="0000FF"/>
                </a:solidFill>
              </a:rPr>
              <a:t>INCOME CHART  JULY'17</a:t>
            </a:r>
          </a:p>
        </c:rich>
      </c:tx>
      <c:layout>
        <c:manualLayout>
          <c:xMode val="edge"/>
          <c:yMode val="edge"/>
          <c:x val="0.340288214299034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18453355293806"/>
          <c:y val="0.12065284634473999"/>
          <c:w val="0.85634380045040004"/>
          <c:h val="0.79588112229767005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dLbl>
              <c:idx val="5"/>
              <c:layout>
                <c:manualLayout>
                  <c:x val="-3.9637706293553397E-3"/>
                  <c:y val="7.5488568249435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4C-4454-82D0-6FF1F4E15E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2017'!$C$123,'Key Dashboards-July 2017'!$C$124,'Key Dashboards-July 2017'!$C$125,'Key Dashboards-July 2017'!$C$126,'Key Dashboards-July 2017'!$E$121:$E$122,'Key Dashboards-July 2017'!$F$121:$F$122)</c:f>
              <c:strCache>
                <c:ptCount val="6"/>
                <c:pt idx="0">
                  <c:v>RENTAL INCOME-COMMERCIAL</c:v>
                </c:pt>
                <c:pt idx="1">
                  <c:v>RENTAL INCOME-RESIDENTIAL</c:v>
                </c:pt>
                <c:pt idx="2">
                  <c:v>OTHER RENTAL INCOME</c:v>
                </c:pt>
                <c:pt idx="3">
                  <c:v>TOTAL INCOME</c:v>
                </c:pt>
                <c:pt idx="4">
                  <c:v>JULY BUDGET</c:v>
                </c:pt>
                <c:pt idx="5">
                  <c:v>JULY VARIANCE</c:v>
                </c:pt>
              </c:strCache>
            </c:strRef>
          </c:cat>
          <c:val>
            <c:numRef>
              <c:f>('Key Dashboards-July 2017'!$D$123,'Key Dashboards-July 2017'!$D$124,'Key Dashboards-July 2017'!$D$125,'Key Dashboards-July 2017'!$D$126,'Key Dashboards-July 2017'!$E$126,'Key Dashboards-July 2017'!$F$126:$F$126)</c:f>
              <c:numCache>
                <c:formatCode>_(* #,##0_);_(* \(#,##0\);_(* "-"??_);_(@_)</c:formatCode>
                <c:ptCount val="6"/>
                <c:pt idx="0">
                  <c:v>11875</c:v>
                </c:pt>
                <c:pt idx="1">
                  <c:v>172896.37</c:v>
                </c:pt>
                <c:pt idx="2">
                  <c:v>16529.47</c:v>
                </c:pt>
                <c:pt idx="3">
                  <c:v>201300.84</c:v>
                </c:pt>
                <c:pt idx="4">
                  <c:v>186436</c:v>
                </c:pt>
                <c:pt idx="5">
                  <c:v>14864.839999999997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C-4454-82D0-6FF1F4E15E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9585072"/>
        <c:axId val="-239596544"/>
        <c:axId val="0"/>
      </c:bar3DChart>
      <c:catAx>
        <c:axId val="-23958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80" b="1">
                <a:solidFill>
                  <a:srgbClr val="0000FF"/>
                </a:solidFill>
                <a:latin typeface="+mn-lt"/>
              </a:defRPr>
            </a:pPr>
            <a:endParaRPr lang="en-US"/>
          </a:p>
        </c:txPr>
        <c:crossAx val="-239596544"/>
        <c:crosses val="autoZero"/>
        <c:auto val="1"/>
        <c:lblAlgn val="ctr"/>
        <c:lblOffset val="100"/>
        <c:noMultiLvlLbl val="0"/>
      </c:catAx>
      <c:valAx>
        <c:axId val="-2395965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-239585072"/>
        <c:crosses val="autoZero"/>
        <c:crossBetween val="between"/>
        <c:majorUnit val="40000"/>
        <c:minorUnit val="20000"/>
      </c:valAx>
      <c:spPr>
        <a:solidFill>
          <a:schemeClr val="accent3">
            <a:lumMod val="20000"/>
            <a:lumOff val="80000"/>
          </a:schemeClr>
        </a:solidFill>
        <a:ln w="15875">
          <a:solidFill>
            <a:schemeClr val="accent6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00"/>
    </a:solidFill>
    <a:ln w="19050">
      <a:solidFill>
        <a:srgbClr val="0000FF"/>
      </a:solidFill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sng" baseline="0">
                <a:solidFill>
                  <a:srgbClr val="0000FF"/>
                </a:solidFill>
                <a:effectLst/>
              </a:rPr>
              <a:t>DRAWINGS DASHBOARD</a:t>
            </a:r>
            <a:endParaRPr lang="en-US" sz="1050">
              <a:solidFill>
                <a:srgbClr val="0000FF"/>
              </a:solidFill>
              <a:effectLst/>
            </a:endParaRPr>
          </a:p>
        </c:rich>
      </c:tx>
      <c:layout>
        <c:manualLayout>
          <c:xMode val="edge"/>
          <c:yMode val="edge"/>
          <c:x val="0.33970916484861402"/>
          <c:y val="3.936207533295849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 w="15875">
          <a:solidFill>
            <a:srgbClr val="0000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 w="15875">
          <a:solidFill>
            <a:srgbClr val="0000FF"/>
          </a:solidFill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'Key Dashboards-July 2017'!$C$166</c:f>
              <c:strCache>
                <c:ptCount val="1"/>
                <c:pt idx="0">
                  <c:v>DRAWINGS IN JULY 2017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2017'!$D$164,'Key Dashboards-July 2017'!$E$164)</c:f>
              <c:strCache>
                <c:ptCount val="2"/>
                <c:pt idx="0">
                  <c:v>XYZ</c:v>
                </c:pt>
                <c:pt idx="1">
                  <c:v>XXXX Street</c:v>
                </c:pt>
              </c:strCache>
            </c:strRef>
          </c:cat>
          <c:val>
            <c:numRef>
              <c:f>'Key Dashboards-July 2017'!$D$166:$E$166</c:f>
              <c:numCache>
                <c:formatCode>_(* #,##0_);_(* \(#,##0\);_(* "-"??_);_(@_)</c:formatCode>
                <c:ptCount val="2"/>
                <c:pt idx="0">
                  <c:v>36825.61</c:v>
                </c:pt>
                <c:pt idx="1">
                  <c:v>22661.68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2-472C-8BB1-559DFDF868B8}"/>
            </c:ext>
          </c:extLst>
        </c:ser>
        <c:ser>
          <c:idx val="1"/>
          <c:order val="1"/>
          <c:tx>
            <c:strRef>
              <c:f>'Key Dashboards-July 2017'!$C$167</c:f>
              <c:strCache>
                <c:ptCount val="1"/>
                <c:pt idx="0">
                  <c:v>YTD DRAWINGS 2017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09133580669701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F2-472C-8BB1-559DFDF868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2017'!$D$164,'Key Dashboards-July 2017'!$E$164)</c:f>
              <c:strCache>
                <c:ptCount val="2"/>
                <c:pt idx="0">
                  <c:v>XYZ</c:v>
                </c:pt>
                <c:pt idx="1">
                  <c:v>XXXX Street</c:v>
                </c:pt>
              </c:strCache>
            </c:strRef>
          </c:cat>
          <c:val>
            <c:numRef>
              <c:f>'Key Dashboards-July 2017'!$D$167:$E$167</c:f>
              <c:numCache>
                <c:formatCode>_(* #,##0_);_(* \(#,##0\);_(* "-"??_);_(@_)</c:formatCode>
                <c:ptCount val="2"/>
                <c:pt idx="0">
                  <c:v>257779.27000000002</c:v>
                </c:pt>
                <c:pt idx="1">
                  <c:v>158631.76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F2-472C-8BB1-559DFDF868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39452848"/>
        <c:axId val="-411032112"/>
        <c:axId val="0"/>
      </c:bar3DChart>
      <c:catAx>
        <c:axId val="-43945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>
                <a:solidFill>
                  <a:srgbClr val="0000FF"/>
                </a:solidFill>
              </a:defRPr>
            </a:pPr>
            <a:endParaRPr lang="en-US"/>
          </a:p>
        </c:txPr>
        <c:crossAx val="-411032112"/>
        <c:crosses val="autoZero"/>
        <c:auto val="1"/>
        <c:lblAlgn val="ctr"/>
        <c:lblOffset val="100"/>
        <c:noMultiLvlLbl val="0"/>
      </c:catAx>
      <c:valAx>
        <c:axId val="-4110321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-43945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386164213795498"/>
          <c:y val="0.46771268004862898"/>
          <c:w val="0.295603620381308"/>
          <c:h val="0.26042726746736999"/>
        </c:manualLayout>
      </c:layout>
      <c:overlay val="0"/>
      <c:spPr>
        <a:ln w="12700">
          <a:solidFill>
            <a:srgbClr val="0000FF"/>
          </a:solidFill>
        </a:ln>
      </c:spPr>
      <c:txPr>
        <a:bodyPr/>
        <a:lstStyle/>
        <a:p>
          <a:pPr>
            <a:defRPr sz="1050" b="1" baseline="0">
              <a:solidFill>
                <a:srgbClr val="0000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12700">
      <a:solidFill>
        <a:srgbClr val="0000FF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baseline="0">
                <a:solidFill>
                  <a:srgbClr val="0000FF"/>
                </a:solidFill>
                <a:effectLst/>
              </a:rPr>
              <a:t>    </a:t>
            </a:r>
            <a:r>
              <a:rPr lang="en-US" sz="1050" b="1" i="0" u="sng" baseline="0">
                <a:solidFill>
                  <a:srgbClr val="0000FF"/>
                </a:solidFill>
                <a:effectLst/>
              </a:rPr>
              <a:t>OWNER CAPITAL</a:t>
            </a:r>
            <a:endParaRPr lang="en-US" sz="1050">
              <a:solidFill>
                <a:srgbClr val="0000FF"/>
              </a:solidFill>
              <a:effectLst/>
            </a:endParaRPr>
          </a:p>
        </c:rich>
      </c:tx>
      <c:layout>
        <c:manualLayout>
          <c:xMode val="edge"/>
          <c:yMode val="edge"/>
          <c:x val="0.33970916484861402"/>
          <c:y val="3.936207533295849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 w="15875">
          <a:solidFill>
            <a:srgbClr val="0000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 w="15875">
          <a:solidFill>
            <a:srgbClr val="0000FF"/>
          </a:solidFill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'Key Dashboards-July 2017'!$C$172</c:f>
              <c:strCache>
                <c:ptCount val="1"/>
                <c:pt idx="0">
                  <c:v>OWNER CONTRIBUTION IN JULY 2017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2017'!$D$164,'Key Dashboards-July 2017'!$E$164)</c:f>
              <c:strCache>
                <c:ptCount val="2"/>
                <c:pt idx="0">
                  <c:v>XYZ</c:v>
                </c:pt>
                <c:pt idx="1">
                  <c:v>XXXX Street</c:v>
                </c:pt>
              </c:strCache>
            </c:strRef>
          </c:cat>
          <c:val>
            <c:numRef>
              <c:f>'Key Dashboards-July 2017'!$D$172:$E$172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7-4938-85B2-F1E51B0DD1E1}"/>
            </c:ext>
          </c:extLst>
        </c:ser>
        <c:ser>
          <c:idx val="1"/>
          <c:order val="1"/>
          <c:tx>
            <c:strRef>
              <c:f>'Key Dashboards-July 2017'!$C$173</c:f>
              <c:strCache>
                <c:ptCount val="1"/>
                <c:pt idx="0">
                  <c:v>YTD OWNER CONTRIBUTION IN JULY 2017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09133580669701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D7-4938-85B2-F1E51B0DD1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2017'!$D$164,'Key Dashboards-July 2017'!$E$164)</c:f>
              <c:strCache>
                <c:ptCount val="2"/>
                <c:pt idx="0">
                  <c:v>XYZ</c:v>
                </c:pt>
                <c:pt idx="1">
                  <c:v>XXXX Street</c:v>
                </c:pt>
              </c:strCache>
            </c:strRef>
          </c:cat>
          <c:val>
            <c:numRef>
              <c:f>'Key Dashboards-July 2017'!$D$173:$E$173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D7-4938-85B2-F1E51B0DD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9412848"/>
        <c:axId val="-239411072"/>
        <c:axId val="0"/>
      </c:bar3DChart>
      <c:catAx>
        <c:axId val="-23941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>
                <a:solidFill>
                  <a:srgbClr val="0000FF"/>
                </a:solidFill>
              </a:defRPr>
            </a:pPr>
            <a:endParaRPr lang="en-US"/>
          </a:p>
        </c:txPr>
        <c:crossAx val="-239411072"/>
        <c:crosses val="autoZero"/>
        <c:auto val="1"/>
        <c:lblAlgn val="ctr"/>
        <c:lblOffset val="100"/>
        <c:noMultiLvlLbl val="0"/>
      </c:catAx>
      <c:valAx>
        <c:axId val="-2394110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-23941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30913778166403"/>
          <c:y val="0.46771268004862898"/>
          <c:w val="0.295603620381308"/>
          <c:h val="0.26042726746736999"/>
        </c:manualLayout>
      </c:layout>
      <c:overlay val="0"/>
      <c:spPr>
        <a:ln w="12700">
          <a:solidFill>
            <a:srgbClr val="0000FF"/>
          </a:solidFill>
        </a:ln>
      </c:spPr>
      <c:txPr>
        <a:bodyPr/>
        <a:lstStyle/>
        <a:p>
          <a:pPr>
            <a:defRPr sz="1050" b="1" baseline="0">
              <a:solidFill>
                <a:srgbClr val="0000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12700">
      <a:solidFill>
        <a:srgbClr val="0000FF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rgbClr val="0000FF"/>
                </a:solidFill>
                <a:latin typeface="+mn-lt"/>
              </a:defRPr>
            </a:pPr>
            <a:r>
              <a:rPr lang="en-US" sz="1050">
                <a:solidFill>
                  <a:srgbClr val="0000FF"/>
                </a:solidFill>
                <a:latin typeface="+mn-lt"/>
              </a:rPr>
              <a:t>FINANCIAL SUMMARY IN Per SQFT BASIS</a:t>
            </a:r>
          </a:p>
        </c:rich>
      </c:tx>
      <c:layout/>
      <c:overlay val="0"/>
      <c:spPr>
        <a:solidFill>
          <a:schemeClr val="bg1">
            <a:lumMod val="75000"/>
          </a:schemeClr>
        </a:solidFill>
        <a:ln w="15875">
          <a:solidFill>
            <a:srgbClr val="0000FF"/>
          </a:solidFill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'Raw Data'!$B$150</c:f>
              <c:strCache>
                <c:ptCount val="1"/>
                <c:pt idx="0">
                  <c:v>CASH FLOW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fld id="{340B8827-D928-4ED7-A54C-AB0FBC04688F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485-4F5E-B859-A07801F943D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63540DC-E16D-4E75-9087-E43FC08D42A1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485-4F5E-B859-A07801F943D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5F735D3-5D8C-4D37-8E6D-A961237E52B8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485-4F5E-B859-A07801F943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Data'!$C$149:$I$149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Data'!$C$150:$I$150</c:f>
              <c:numCache>
                <c:formatCode>_(* #,##0.0_);_(* \(#,##0.0\);_(* "-"??_);_(@_)</c:formatCode>
                <c:ptCount val="7"/>
                <c:pt idx="0">
                  <c:v>1.4368079832039053</c:v>
                </c:pt>
                <c:pt idx="1">
                  <c:v>-0.54566691118812105</c:v>
                </c:pt>
                <c:pt idx="2">
                  <c:v>-0.16977006551488602</c:v>
                </c:pt>
                <c:pt idx="3">
                  <c:v>1.1925806288417273</c:v>
                </c:pt>
                <c:pt idx="4">
                  <c:v>5.1462322616547991E-2</c:v>
                </c:pt>
                <c:pt idx="5">
                  <c:v>-0.32754863025826514</c:v>
                </c:pt>
                <c:pt idx="6">
                  <c:v>0.62322591252877335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85-4F5E-B859-A07801F943DF}"/>
            </c:ext>
          </c:extLst>
        </c:ser>
        <c:ser>
          <c:idx val="1"/>
          <c:order val="1"/>
          <c:tx>
            <c:strRef>
              <c:f>'Raw Data'!$B$151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Data'!$C$149:$I$149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Data'!$C$151:$I$151</c:f>
              <c:numCache>
                <c:formatCode>_(* #,##0.0_);_(* \(#,##0.0\);_(* "-"??_);_(@_)</c:formatCode>
                <c:ptCount val="7"/>
                <c:pt idx="0">
                  <c:v>2.1425196671135507</c:v>
                </c:pt>
                <c:pt idx="1">
                  <c:v>2.0529985075759485</c:v>
                </c:pt>
                <c:pt idx="2">
                  <c:v>1.8971707181342174</c:v>
                </c:pt>
                <c:pt idx="3">
                  <c:v>1.7052325904940175</c:v>
                </c:pt>
                <c:pt idx="4">
                  <c:v>1.7367111021172188</c:v>
                </c:pt>
                <c:pt idx="5">
                  <c:v>1.744352819163737</c:v>
                </c:pt>
                <c:pt idx="6">
                  <c:v>1.8055444818253101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85-4F5E-B859-A07801F943DF}"/>
            </c:ext>
          </c:extLst>
        </c:ser>
        <c:ser>
          <c:idx val="2"/>
          <c:order val="2"/>
          <c:tx>
            <c:strRef>
              <c:f>'Raw Data'!$B$152</c:f>
              <c:strCache>
                <c:ptCount val="1"/>
                <c:pt idx="0">
                  <c:v>INTEREST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Data'!$C$149:$I$149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Data'!$C$152:$I$152</c:f>
              <c:numCache>
                <c:formatCode>_(* #,##0.0_);_(* \(#,##0.0\);_(* "-"??_);_(@_)</c:formatCode>
                <c:ptCount val="7"/>
                <c:pt idx="0">
                  <c:v>1.7217952090658437</c:v>
                </c:pt>
                <c:pt idx="1">
                  <c:v>1.5551698580932385</c:v>
                </c:pt>
                <c:pt idx="2">
                  <c:v>1.7217952090658437</c:v>
                </c:pt>
                <c:pt idx="3">
                  <c:v>1.6662535097260516</c:v>
                </c:pt>
                <c:pt idx="4">
                  <c:v>1.7217952090658437</c:v>
                </c:pt>
                <c:pt idx="5">
                  <c:v>1.6662535097260516</c:v>
                </c:pt>
                <c:pt idx="6">
                  <c:v>1.7217952090658437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85-4F5E-B859-A07801F943DF}"/>
            </c:ext>
          </c:extLst>
        </c:ser>
        <c:ser>
          <c:idx val="3"/>
          <c:order val="3"/>
          <c:tx>
            <c:strRef>
              <c:f>'Raw Data'!$B$153</c:f>
              <c:strCache>
                <c:ptCount val="1"/>
                <c:pt idx="0">
                  <c:v>NET OPERATING INCOME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Data'!$C$149:$I$149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Data'!$C$153:$I$153</c:f>
              <c:numCache>
                <c:formatCode>_(* #,##0.0_);_(* \(#,##0.0\);_(* "-"??_);_(@_)</c:formatCode>
                <c:ptCount val="7"/>
                <c:pt idx="0">
                  <c:v>3.9038089697214984</c:v>
                </c:pt>
                <c:pt idx="1">
                  <c:v>3.7009898059848729</c:v>
                </c:pt>
                <c:pt idx="2">
                  <c:v>3.672048162294792</c:v>
                </c:pt>
                <c:pt idx="3">
                  <c:v>3.4307158576379226</c:v>
                </c:pt>
                <c:pt idx="4">
                  <c:v>3.4974998102850785</c:v>
                </c:pt>
                <c:pt idx="5">
                  <c:v>3.7811610553208714</c:v>
                </c:pt>
                <c:pt idx="6">
                  <c:v>3.5663331899931698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85-4F5E-B859-A07801F943DF}"/>
            </c:ext>
          </c:extLst>
        </c:ser>
        <c:ser>
          <c:idx val="4"/>
          <c:order val="4"/>
          <c:tx>
            <c:strRef>
              <c:f>'Raw Data'!$B$154</c:f>
              <c:strCache>
                <c:ptCount val="1"/>
                <c:pt idx="0">
                  <c:v>RENTAL INCOME-COMMERCIAL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Data'!$C$149:$I$149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Data'!$C$154:$I$154</c:f>
              <c:numCache>
                <c:formatCode>_(* #,##0.0_);_(* \(#,##0.0\);_(* "-"??_);_(@_)</c:formatCode>
                <c:ptCount val="7"/>
                <c:pt idx="0">
                  <c:v>4.6749999999999998</c:v>
                </c:pt>
                <c:pt idx="1">
                  <c:v>4.6749999999999998</c:v>
                </c:pt>
                <c:pt idx="2">
                  <c:v>4.6749999999999998</c:v>
                </c:pt>
                <c:pt idx="3">
                  <c:v>4.6749999999999998</c:v>
                </c:pt>
                <c:pt idx="4">
                  <c:v>4.6749999999999998</c:v>
                </c:pt>
                <c:pt idx="5">
                  <c:v>4.71</c:v>
                </c:pt>
                <c:pt idx="6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85-4F5E-B859-A07801F943DF}"/>
            </c:ext>
          </c:extLst>
        </c:ser>
        <c:ser>
          <c:idx val="5"/>
          <c:order val="5"/>
          <c:tx>
            <c:strRef>
              <c:f>'Raw Data'!$B$155</c:f>
              <c:strCache>
                <c:ptCount val="1"/>
                <c:pt idx="0">
                  <c:v>RENTAL INCOME-RESIDENTIAL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Data'!$C$149:$I$149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Data'!$C$155:$I$155</c:f>
              <c:numCache>
                <c:formatCode>_(* #,##0.0_);_(* \(#,##0.0\);_(* "-"??_);_(@_)</c:formatCode>
                <c:ptCount val="7"/>
                <c:pt idx="0">
                  <c:v>4.5799027894040449</c:v>
                </c:pt>
                <c:pt idx="1">
                  <c:v>4.614339643021089</c:v>
                </c:pt>
                <c:pt idx="2">
                  <c:v>4.5027081251856451</c:v>
                </c:pt>
                <c:pt idx="3">
                  <c:v>4.118412766991602</c:v>
                </c:pt>
                <c:pt idx="4">
                  <c:v>4.625383036751006</c:v>
                </c:pt>
                <c:pt idx="5">
                  <c:v>4.7060983447195746</c:v>
                </c:pt>
                <c:pt idx="6">
                  <c:v>4.6687108794858636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85-4F5E-B859-A07801F943DF}"/>
            </c:ext>
          </c:extLst>
        </c:ser>
        <c:ser>
          <c:idx val="6"/>
          <c:order val="6"/>
          <c:tx>
            <c:strRef>
              <c:f>'Raw Data'!$B$156</c:f>
              <c:strCache>
                <c:ptCount val="1"/>
                <c:pt idx="0">
                  <c:v>OTHER RENTAL INCOME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Data'!$C$149:$I$149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Data'!$C$156:$I$156</c:f>
              <c:numCache>
                <c:formatCode>_(* #,##0.0_);_(* \(#,##0.0\);_(* "-"??_);_(@_)</c:formatCode>
                <c:ptCount val="7"/>
                <c:pt idx="0">
                  <c:v>0.69941808657143623</c:v>
                </c:pt>
                <c:pt idx="1">
                  <c:v>0.37508087381524585</c:v>
                </c:pt>
                <c:pt idx="2">
                  <c:v>0.40859422677071805</c:v>
                </c:pt>
                <c:pt idx="3">
                  <c:v>0.56027488996300601</c:v>
                </c:pt>
                <c:pt idx="4">
                  <c:v>0.28684551616126158</c:v>
                </c:pt>
                <c:pt idx="5">
                  <c:v>0.29039667323738289</c:v>
                </c:pt>
                <c:pt idx="6">
                  <c:v>0.44634434153322716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85-4F5E-B859-A07801F943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242576592"/>
        <c:axId val="-242574272"/>
        <c:extLst/>
      </c:barChart>
      <c:catAx>
        <c:axId val="-2425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Arial" charset="0"/>
                <a:cs typeface="Arial" charset="0"/>
              </a:defRPr>
            </a:pPr>
            <a:endParaRPr lang="en-US"/>
          </a:p>
        </c:txPr>
        <c:crossAx val="-242574272"/>
        <c:crossesAt val="0"/>
        <c:auto val="1"/>
        <c:lblAlgn val="ctr"/>
        <c:lblOffset val="100"/>
        <c:noMultiLvlLbl val="0"/>
      </c:catAx>
      <c:valAx>
        <c:axId val="-24257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" charset="0"/>
                <a:cs typeface="Arial" charset="0"/>
              </a:defRPr>
            </a:pPr>
            <a:endParaRPr lang="en-US"/>
          </a:p>
        </c:txPr>
        <c:crossAx val="-242576592"/>
        <c:crosses val="autoZero"/>
        <c:crossBetween val="between"/>
      </c:valAx>
      <c:spPr>
        <a:noFill/>
        <a:ln w="15875">
          <a:solidFill>
            <a:srgbClr val="0000FF"/>
          </a:solidFill>
        </a:ln>
        <a:effectLst/>
      </c:spPr>
    </c:plotArea>
    <c:legend>
      <c:legendPos val="b"/>
      <c:layout/>
      <c:overlay val="0"/>
      <c:spPr>
        <a:noFill/>
        <a:ln w="12700"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FF"/>
              </a:solidFill>
              <a:latin typeface="+mn-lt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C00000"/>
      </a:solidFill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rgbClr val="0000FF"/>
                </a:solidFill>
                <a:latin typeface="+mn-lt"/>
              </a:defRPr>
            </a:pPr>
            <a:r>
              <a:rPr lang="en-US" sz="1050">
                <a:solidFill>
                  <a:srgbClr val="0000FF"/>
                </a:solidFill>
                <a:latin typeface="+mn-lt"/>
              </a:rPr>
              <a:t>FINANCIAL SUMMARY IN Per UNIT BASIS</a:t>
            </a:r>
          </a:p>
        </c:rich>
      </c:tx>
      <c:layout/>
      <c:overlay val="0"/>
      <c:spPr>
        <a:solidFill>
          <a:schemeClr val="bg1">
            <a:lumMod val="75000"/>
          </a:schemeClr>
        </a:solidFill>
        <a:ln w="15875">
          <a:solidFill>
            <a:srgbClr val="0000FF"/>
          </a:solidFill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'Raw Data'!$B$174</c:f>
              <c:strCache>
                <c:ptCount val="1"/>
                <c:pt idx="0">
                  <c:v>CASH FLOW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fld id="{DEBC599E-253B-419F-93E2-9CBA52445807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F82-46F9-B445-125C37FD922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77E11D0-320A-422E-B9D2-8D991AC5DCFB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F82-46F9-B445-125C37FD922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B8CA7DB-CD28-4953-A717-5C576677EFE7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F82-46F9-B445-125C37FD92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Data'!$C$173:$I$173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Data'!$C$174:$I$174</c:f>
              <c:numCache>
                <c:formatCode>_(* #,##0_);_(* \(#,##0\);_(* "-"??_);_(@_)</c:formatCode>
                <c:ptCount val="7"/>
                <c:pt idx="0">
                  <c:v>1092.333269230769</c:v>
                </c:pt>
                <c:pt idx="1">
                  <c:v>-414.84326923076907</c:v>
                </c:pt>
                <c:pt idx="2">
                  <c:v>-129.06769230769211</c:v>
                </c:pt>
                <c:pt idx="3">
                  <c:v>906.65942307692319</c:v>
                </c:pt>
                <c:pt idx="4">
                  <c:v>39.124230769230614</c:v>
                </c:pt>
                <c:pt idx="5">
                  <c:v>-249.01884615384608</c:v>
                </c:pt>
                <c:pt idx="6">
                  <c:v>473.80749999999995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82-46F9-B445-125C37FD9221}"/>
            </c:ext>
          </c:extLst>
        </c:ser>
        <c:ser>
          <c:idx val="1"/>
          <c:order val="1"/>
          <c:tx>
            <c:strRef>
              <c:f>'Raw Data'!$B$175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Data'!$C$173:$I$173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Data'!$C$175:$I$175</c:f>
              <c:numCache>
                <c:formatCode>_(* #,##0_);_(* \(#,##0\);_(* "-"??_);_(@_)</c:formatCode>
                <c:ptCount val="7"/>
                <c:pt idx="0">
                  <c:v>1628.8505769230769</c:v>
                </c:pt>
                <c:pt idx="1">
                  <c:v>1560.7921153846148</c:v>
                </c:pt>
                <c:pt idx="2">
                  <c:v>1442.3240384615387</c:v>
                </c:pt>
                <c:pt idx="3">
                  <c:v>1296.4030769230767</c:v>
                </c:pt>
                <c:pt idx="4">
                  <c:v>1320.3346153846155</c:v>
                </c:pt>
                <c:pt idx="5">
                  <c:v>1326.1442307692309</c:v>
                </c:pt>
                <c:pt idx="6">
                  <c:v>1372.665192307692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82-46F9-B445-125C37FD9221}"/>
            </c:ext>
          </c:extLst>
        </c:ser>
        <c:ser>
          <c:idx val="2"/>
          <c:order val="2"/>
          <c:tx>
            <c:strRef>
              <c:f>'Raw Data'!$B$176</c:f>
              <c:strCache>
                <c:ptCount val="1"/>
                <c:pt idx="0">
                  <c:v>INTEREST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Data'!$C$173:$I$173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Data'!$C$176:$I$176</c:f>
              <c:numCache>
                <c:formatCode>_(* #,##0_);_(* \(#,##0\);_(* "-"??_);_(@_)</c:formatCode>
                <c:ptCount val="7"/>
                <c:pt idx="0">
                  <c:v>1308.9948076923076</c:v>
                </c:pt>
                <c:pt idx="1">
                  <c:v>1182.3178846153846</c:v>
                </c:pt>
                <c:pt idx="2">
                  <c:v>1308.9948076923076</c:v>
                </c:pt>
                <c:pt idx="3">
                  <c:v>1266.7692307692307</c:v>
                </c:pt>
                <c:pt idx="4">
                  <c:v>1308.9948076923076</c:v>
                </c:pt>
                <c:pt idx="5">
                  <c:v>1266.7692307692307</c:v>
                </c:pt>
                <c:pt idx="6">
                  <c:v>1308.9948076923076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82-46F9-B445-125C37FD9221}"/>
            </c:ext>
          </c:extLst>
        </c:ser>
        <c:ser>
          <c:idx val="3"/>
          <c:order val="3"/>
          <c:tx>
            <c:strRef>
              <c:f>'Raw Data'!$B$177</c:f>
              <c:strCache>
                <c:ptCount val="1"/>
                <c:pt idx="0">
                  <c:v>NET OPERATING INCOME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Data'!$C$173:$I$173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Data'!$C$177:$I$177</c:f>
              <c:numCache>
                <c:formatCode>_(* #,##0_);_(* \(#,##0\);_(* "-"??_);_(@_)</c:formatCode>
                <c:ptCount val="7"/>
                <c:pt idx="0">
                  <c:v>2967.8707692307694</c:v>
                </c:pt>
                <c:pt idx="1">
                  <c:v>2813.6774999999998</c:v>
                </c:pt>
                <c:pt idx="2">
                  <c:v>2791.6746153846157</c:v>
                </c:pt>
                <c:pt idx="3">
                  <c:v>2608.2017307692304</c:v>
                </c:pt>
                <c:pt idx="4">
                  <c:v>2658.9742307692309</c:v>
                </c:pt>
                <c:pt idx="5">
                  <c:v>2874.6276923076925</c:v>
                </c:pt>
                <c:pt idx="6">
                  <c:v>2711.3048076923073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82-46F9-B445-125C37FD9221}"/>
            </c:ext>
          </c:extLst>
        </c:ser>
        <c:ser>
          <c:idx val="4"/>
          <c:order val="4"/>
          <c:tx>
            <c:strRef>
              <c:f>'Raw Data'!$B$178</c:f>
              <c:strCache>
                <c:ptCount val="1"/>
                <c:pt idx="0">
                  <c:v>RENTAL INCOME-COMMERCIAL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Data'!$C$173:$I$173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Data'!$C$178:$I$178</c:f>
              <c:numCache>
                <c:formatCode>_(* #,##0_);_(* \(#,##0\);_(* "-"??_);_(@_)</c:formatCode>
                <c:ptCount val="7"/>
                <c:pt idx="0">
                  <c:v>5843.75</c:v>
                </c:pt>
                <c:pt idx="1">
                  <c:v>5843.75</c:v>
                </c:pt>
                <c:pt idx="2">
                  <c:v>5843.75</c:v>
                </c:pt>
                <c:pt idx="3">
                  <c:v>5843.75</c:v>
                </c:pt>
                <c:pt idx="4">
                  <c:v>5843.75</c:v>
                </c:pt>
                <c:pt idx="5">
                  <c:v>5887.5</c:v>
                </c:pt>
                <c:pt idx="6">
                  <c:v>5937.5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82-46F9-B445-125C37FD9221}"/>
            </c:ext>
          </c:extLst>
        </c:ser>
        <c:ser>
          <c:idx val="5"/>
          <c:order val="5"/>
          <c:tx>
            <c:strRef>
              <c:f>'Raw Data'!$B$179</c:f>
              <c:strCache>
                <c:ptCount val="1"/>
                <c:pt idx="0">
                  <c:v>RENTAL INCOME-RESIDENTIAL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Data'!$C$173:$I$173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Data'!$C$179:$I$179</c:f>
              <c:numCache>
                <c:formatCode>_(* #,##0_);_(* \(#,##0\);_(* "-"??_);_(@_)</c:formatCode>
                <c:ptCount val="7"/>
                <c:pt idx="0">
                  <c:v>3392.1508000000003</c:v>
                </c:pt>
                <c:pt idx="1">
                  <c:v>3417.6567999999997</c:v>
                </c:pt>
                <c:pt idx="2">
                  <c:v>3334.9758000000002</c:v>
                </c:pt>
                <c:pt idx="3">
                  <c:v>3050.3435999999997</c:v>
                </c:pt>
                <c:pt idx="4">
                  <c:v>3425.8361999999997</c:v>
                </c:pt>
                <c:pt idx="5">
                  <c:v>3485.6188000000002</c:v>
                </c:pt>
                <c:pt idx="6">
                  <c:v>3457.9274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82-46F9-B445-125C37FD9221}"/>
            </c:ext>
          </c:extLst>
        </c:ser>
        <c:ser>
          <c:idx val="6"/>
          <c:order val="6"/>
          <c:tx>
            <c:strRef>
              <c:f>'Raw Data'!$B$180</c:f>
              <c:strCache>
                <c:ptCount val="1"/>
                <c:pt idx="0">
                  <c:v>OTHER RENTAL INCOME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Data'!$C$173:$I$173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Data'!$C$180:$I$180</c:f>
              <c:numCache>
                <c:formatCode>_(* #,##0_);_(* \(#,##0\);_(* "-"??_);_(@_)</c:formatCode>
                <c:ptCount val="7"/>
                <c:pt idx="0">
                  <c:v>518.03099999999995</c:v>
                </c:pt>
                <c:pt idx="1">
                  <c:v>277.80739999999997</c:v>
                </c:pt>
                <c:pt idx="2">
                  <c:v>302.62940000000003</c:v>
                </c:pt>
                <c:pt idx="3">
                  <c:v>414.97320000000002</c:v>
                </c:pt>
                <c:pt idx="4">
                  <c:v>212.45500000000001</c:v>
                </c:pt>
                <c:pt idx="5">
                  <c:v>215.08520000000001</c:v>
                </c:pt>
                <c:pt idx="6">
                  <c:v>330.58940000000001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82-46F9-B445-125C37FD92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242522512"/>
        <c:axId val="-242520192"/>
        <c:extLst/>
      </c:barChart>
      <c:catAx>
        <c:axId val="-24252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Arial" charset="0"/>
                <a:cs typeface="Arial" charset="0"/>
              </a:defRPr>
            </a:pPr>
            <a:endParaRPr lang="en-US"/>
          </a:p>
        </c:txPr>
        <c:crossAx val="-242520192"/>
        <c:crossesAt val="0"/>
        <c:auto val="1"/>
        <c:lblAlgn val="ctr"/>
        <c:lblOffset val="100"/>
        <c:noMultiLvlLbl val="0"/>
      </c:catAx>
      <c:valAx>
        <c:axId val="-24252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" charset="0"/>
                <a:cs typeface="Arial" charset="0"/>
              </a:defRPr>
            </a:pPr>
            <a:endParaRPr lang="en-US"/>
          </a:p>
        </c:txPr>
        <c:crossAx val="-242522512"/>
        <c:crosses val="autoZero"/>
        <c:crossBetween val="between"/>
      </c:valAx>
      <c:spPr>
        <a:noFill/>
        <a:ln w="15875">
          <a:solidFill>
            <a:srgbClr val="0000FF"/>
          </a:solidFill>
        </a:ln>
        <a:effectLst/>
      </c:spPr>
    </c:plotArea>
    <c:legend>
      <c:legendPos val="b"/>
      <c:layout/>
      <c:overlay val="0"/>
      <c:spPr>
        <a:noFill/>
        <a:ln w="12700"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FF"/>
              </a:solidFill>
              <a:latin typeface="+mn-lt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C00000"/>
      </a:solidFill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rgbClr val="0000FF"/>
                </a:solidFill>
              </a:defRPr>
            </a:pPr>
            <a:r>
              <a:rPr lang="en-US" sz="1050">
                <a:solidFill>
                  <a:srgbClr val="0000FF"/>
                </a:solidFill>
              </a:rPr>
              <a:t>INCOME SUMMARY</a:t>
            </a:r>
          </a:p>
        </c:rich>
      </c:tx>
      <c:layout/>
      <c:overlay val="0"/>
      <c:spPr>
        <a:solidFill>
          <a:schemeClr val="accent3">
            <a:lumMod val="40000"/>
            <a:lumOff val="60000"/>
          </a:schemeClr>
        </a:solidFill>
        <a:ln w="15875">
          <a:solidFill>
            <a:srgbClr val="0000FF"/>
          </a:solidFill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'Raw Data'!$B$4</c:f>
              <c:strCache>
                <c:ptCount val="1"/>
                <c:pt idx="0">
                  <c:v>RENTAL INCOME-COMMERCIAL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Data'!$C$2:$J$2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'Raw Data'!$C$4:$I$4</c:f>
              <c:numCache>
                <c:formatCode>_(* #,##0_);_(* \(#,##0\);_(* "-"??_);_(@_)</c:formatCode>
                <c:ptCount val="7"/>
                <c:pt idx="0">
                  <c:v>11687.5</c:v>
                </c:pt>
                <c:pt idx="1">
                  <c:v>11687.5</c:v>
                </c:pt>
                <c:pt idx="2">
                  <c:v>11687.5</c:v>
                </c:pt>
                <c:pt idx="3">
                  <c:v>11687.5</c:v>
                </c:pt>
                <c:pt idx="4">
                  <c:v>11687.5</c:v>
                </c:pt>
                <c:pt idx="5">
                  <c:v>11775</c:v>
                </c:pt>
                <c:pt idx="6">
                  <c:v>11875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6-4F64-A628-FAA71BDD5347}"/>
            </c:ext>
          </c:extLst>
        </c:ser>
        <c:ser>
          <c:idx val="1"/>
          <c:order val="1"/>
          <c:tx>
            <c:strRef>
              <c:f>'Raw Data'!$B$5</c:f>
              <c:strCache>
                <c:ptCount val="1"/>
                <c:pt idx="0">
                  <c:v>RENTAL INCOME-RESIDENTIAL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Data'!$C$2:$J$2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'Raw Data'!$C$5:$I$5</c:f>
              <c:numCache>
                <c:formatCode>_(* #,##0_);_(* \(#,##0\);_(* "-"??_);_(@_)</c:formatCode>
                <c:ptCount val="7"/>
                <c:pt idx="0">
                  <c:v>169607.54</c:v>
                </c:pt>
                <c:pt idx="1">
                  <c:v>170882.84</c:v>
                </c:pt>
                <c:pt idx="2">
                  <c:v>166748.79</c:v>
                </c:pt>
                <c:pt idx="3">
                  <c:v>152517.18</c:v>
                </c:pt>
                <c:pt idx="4">
                  <c:v>171291.81</c:v>
                </c:pt>
                <c:pt idx="5">
                  <c:v>174280.94</c:v>
                </c:pt>
                <c:pt idx="6">
                  <c:v>172896.37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6-4F64-A628-FAA71BDD5347}"/>
            </c:ext>
          </c:extLst>
        </c:ser>
        <c:ser>
          <c:idx val="2"/>
          <c:order val="2"/>
          <c:tx>
            <c:strRef>
              <c:f>'Raw Data'!$B$6</c:f>
              <c:strCache>
                <c:ptCount val="1"/>
                <c:pt idx="0">
                  <c:v>OTHER RENTAL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Data'!$C$2:$J$2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'Raw Data'!$C$6:$I$6</c:f>
              <c:numCache>
                <c:formatCode>_(* #,##0_);_(* \(#,##0\);_(* "-"??_);_(@_)</c:formatCode>
                <c:ptCount val="7"/>
                <c:pt idx="0">
                  <c:v>25901.55</c:v>
                </c:pt>
                <c:pt idx="1">
                  <c:v>13890.369999999999</c:v>
                </c:pt>
                <c:pt idx="2">
                  <c:v>15131.470000000001</c:v>
                </c:pt>
                <c:pt idx="3">
                  <c:v>20748.66</c:v>
                </c:pt>
                <c:pt idx="4">
                  <c:v>10622.75</c:v>
                </c:pt>
                <c:pt idx="5">
                  <c:v>10754.26</c:v>
                </c:pt>
                <c:pt idx="6">
                  <c:v>16529.47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A6-4F64-A628-FAA71BDD5347}"/>
            </c:ext>
          </c:extLst>
        </c:ser>
        <c:ser>
          <c:idx val="3"/>
          <c:order val="3"/>
          <c:tx>
            <c:strRef>
              <c:f>'Raw Data'!$B$7</c:f>
              <c:strCache>
                <c:ptCount val="1"/>
                <c:pt idx="0">
                  <c:v>    TOTAL INCOME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Data'!$C$2:$J$2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'Raw Data'!$C$7:$I$7</c:f>
              <c:numCache>
                <c:formatCode>_(* #,##0_);_(* \(#,##0\);_(* "-"??_);_(@_)</c:formatCode>
                <c:ptCount val="7"/>
                <c:pt idx="0">
                  <c:v>207196.59</c:v>
                </c:pt>
                <c:pt idx="1">
                  <c:v>196460.71</c:v>
                </c:pt>
                <c:pt idx="2">
                  <c:v>193567.76</c:v>
                </c:pt>
                <c:pt idx="3">
                  <c:v>184953.34</c:v>
                </c:pt>
                <c:pt idx="4">
                  <c:v>193602.06</c:v>
                </c:pt>
                <c:pt idx="5">
                  <c:v>196810.2</c:v>
                </c:pt>
                <c:pt idx="6">
                  <c:v>201300.84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A6-4F64-A628-FAA71BDD53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242484480"/>
        <c:axId val="-242482160"/>
        <c:extLst/>
      </c:barChart>
      <c:catAx>
        <c:axId val="-24248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accent6">
                    <a:lumMod val="50000"/>
                  </a:schemeClr>
                </a:solidFill>
              </a:defRPr>
            </a:pPr>
            <a:endParaRPr lang="en-US"/>
          </a:p>
        </c:txPr>
        <c:crossAx val="-242482160"/>
        <c:crossesAt val="0"/>
        <c:auto val="1"/>
        <c:lblAlgn val="ctr"/>
        <c:lblOffset val="100"/>
        <c:noMultiLvlLbl val="0"/>
      </c:catAx>
      <c:valAx>
        <c:axId val="-24248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42484480"/>
        <c:crosses val="autoZero"/>
        <c:crossBetween val="between"/>
      </c:valAx>
      <c:spPr>
        <a:noFill/>
        <a:ln w="15875"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135192364082802"/>
          <c:y val="0.92487645940809105"/>
          <c:w val="0.73595944259882595"/>
          <c:h val="5.5419107094371797E-2"/>
        </c:manualLayout>
      </c:layout>
      <c:overlay val="0"/>
      <c:spPr>
        <a:noFill/>
        <a:ln w="12700">
          <a:solidFill>
            <a:srgbClr val="0000FF"/>
          </a:solidFill>
        </a:ln>
        <a:effectLst/>
      </c:spPr>
      <c:txPr>
        <a:bodyPr rot="0" vert="horz"/>
        <a:lstStyle/>
        <a:p>
          <a:pPr>
            <a:defRPr sz="1050" b="0">
              <a:solidFill>
                <a:srgbClr val="0000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C00000"/>
      </a:solidFill>
      <a:round/>
    </a:ln>
    <a:effectLst/>
  </c:spPr>
  <c:txPr>
    <a:bodyPr/>
    <a:lstStyle/>
    <a:p>
      <a:pPr>
        <a:defRPr sz="900">
          <a:latin typeface="+mn-lt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rgbClr val="0000FF"/>
                </a:solidFill>
              </a:defRPr>
            </a:pPr>
            <a:r>
              <a:rPr lang="en-US" sz="1050">
                <a:solidFill>
                  <a:srgbClr val="0000FF"/>
                </a:solidFill>
              </a:rPr>
              <a:t>Key Expenses</a:t>
            </a:r>
          </a:p>
        </c:rich>
      </c:tx>
      <c:overlay val="0"/>
      <c:spPr>
        <a:solidFill>
          <a:schemeClr val="bg1">
            <a:lumMod val="75000"/>
          </a:schemeClr>
        </a:solidFill>
        <a:ln w="15875">
          <a:solidFill>
            <a:srgbClr val="0000FF"/>
          </a:solidFill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'Raw Data'!$B$98</c:f>
              <c:strCache>
                <c:ptCount val="1"/>
                <c:pt idx="0">
                  <c:v>R&amp;M RELATED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'Raw Data'!$C$110:$J$110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'Raw Data'!$C$98:$I$98</c:f>
              <c:numCache>
                <c:formatCode>0%</c:formatCode>
                <c:ptCount val="7"/>
                <c:pt idx="0">
                  <c:v>3.4348538265036116E-2</c:v>
                </c:pt>
                <c:pt idx="1">
                  <c:v>2.5337279907010415E-2</c:v>
                </c:pt>
                <c:pt idx="2">
                  <c:v>2.5800990826158238E-2</c:v>
                </c:pt>
                <c:pt idx="3">
                  <c:v>3.6649567939676025E-2</c:v>
                </c:pt>
                <c:pt idx="4">
                  <c:v>2.4979847838395932E-2</c:v>
                </c:pt>
                <c:pt idx="5">
                  <c:v>2.2470024419466064E-2</c:v>
                </c:pt>
                <c:pt idx="6">
                  <c:v>2.5763777240075107E-2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8-4A06-92E1-82D8430B850A}"/>
            </c:ext>
          </c:extLst>
        </c:ser>
        <c:ser>
          <c:idx val="1"/>
          <c:order val="1"/>
          <c:tx>
            <c:strRef>
              <c:f>'Raw Data'!$B$101</c:f>
              <c:strCache>
                <c:ptCount val="1"/>
                <c:pt idx="0">
                  <c:v>MANAGEMENT FEE EXPENSE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'Raw Data'!$C$110:$J$110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'Raw Data'!$C$101:$I$101</c:f>
              <c:numCache>
                <c:formatCode>0%</c:formatCode>
                <c:ptCount val="7"/>
                <c:pt idx="0">
                  <c:v>2.7426754465408914E-2</c:v>
                </c:pt>
                <c:pt idx="1">
                  <c:v>2.5173532153070197E-2</c:v>
                </c:pt>
                <c:pt idx="2">
                  <c:v>2.180011795352697E-2</c:v>
                </c:pt>
                <c:pt idx="3">
                  <c:v>2.5945895326897041E-2</c:v>
                </c:pt>
                <c:pt idx="4">
                  <c:v>2.5438675600869123E-2</c:v>
                </c:pt>
                <c:pt idx="5">
                  <c:v>2.3921626013285898E-2</c:v>
                </c:pt>
                <c:pt idx="6">
                  <c:v>2.910916814852834E-2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8-4A06-92E1-82D8430B850A}"/>
            </c:ext>
          </c:extLst>
        </c:ser>
        <c:ser>
          <c:idx val="2"/>
          <c:order val="2"/>
          <c:tx>
            <c:strRef>
              <c:f>'Raw Data'!$B$103</c:f>
              <c:strCache>
                <c:ptCount val="1"/>
                <c:pt idx="0">
                  <c:v>REAL ESTATE TAXES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'Raw Data'!$C$110:$J$110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'Raw Data'!$C$103:$I$103</c:f>
              <c:numCache>
                <c:formatCode>0%</c:formatCode>
                <c:ptCount val="7"/>
                <c:pt idx="0">
                  <c:v>9.3788416112446635E-2</c:v>
                </c:pt>
                <c:pt idx="1">
                  <c:v>9.8913619929399621E-2</c:v>
                </c:pt>
                <c:pt idx="2">
                  <c:v>0.10039192477094325</c:v>
                </c:pt>
                <c:pt idx="3">
                  <c:v>0.10506779709952792</c:v>
                </c:pt>
                <c:pt idx="4">
                  <c:v>0.10037413858096345</c:v>
                </c:pt>
                <c:pt idx="5">
                  <c:v>9.8737921103682638E-2</c:v>
                </c:pt>
                <c:pt idx="6">
                  <c:v>9.8466007394703375E-2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98-4A06-92E1-82D8430B850A}"/>
            </c:ext>
          </c:extLst>
        </c:ser>
        <c:ser>
          <c:idx val="3"/>
          <c:order val="3"/>
          <c:tx>
            <c:strRef>
              <c:f>'Raw Data'!$B$106</c:f>
              <c:strCache>
                <c:ptCount val="1"/>
                <c:pt idx="0">
                  <c:v>PAYROLL EXPENSE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'Raw Data'!$C$110:$J$110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'Raw Data'!$C$106:$I$106</c:f>
              <c:numCache>
                <c:formatCode>0%</c:formatCode>
                <c:ptCount val="7"/>
                <c:pt idx="0">
                  <c:v>5.8227840525753832E-2</c:v>
                </c:pt>
                <c:pt idx="1">
                  <c:v>5.5238678512360057E-2</c:v>
                </c:pt>
                <c:pt idx="2">
                  <c:v>5.6517676290721137E-2</c:v>
                </c:pt>
                <c:pt idx="3">
                  <c:v>5.205907608913686E-2</c:v>
                </c:pt>
                <c:pt idx="4">
                  <c:v>5.0993930539788679E-2</c:v>
                </c:pt>
                <c:pt idx="5">
                  <c:v>5.4076719600914994E-2</c:v>
                </c:pt>
                <c:pt idx="6">
                  <c:v>5.3942894624781496E-2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98-4A06-92E1-82D8430B850A}"/>
            </c:ext>
          </c:extLst>
        </c:ser>
        <c:ser>
          <c:idx val="4"/>
          <c:order val="4"/>
          <c:tx>
            <c:strRef>
              <c:f>'Raw Data'!$B$107</c:f>
              <c:strCache>
                <c:ptCount val="1"/>
                <c:pt idx="0">
                  <c:v>INTEREST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00FF"/>
                    </a:solidFill>
                    <a:latin typeface="+mn-l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'Raw Data'!$C$110:$J$110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'Raw Data'!$C$107:$I$107</c:f>
              <c:numCache>
                <c:formatCode>0%</c:formatCode>
                <c:ptCount val="7"/>
                <c:pt idx="0">
                  <c:v>0.32851761701290544</c:v>
                </c:pt>
                <c:pt idx="1">
                  <c:v>0.31294058745893771</c:v>
                </c:pt>
                <c:pt idx="2">
                  <c:v>0.35164807403877585</c:v>
                </c:pt>
                <c:pt idx="3">
                  <c:v>0.35615469285388413</c:v>
                </c:pt>
                <c:pt idx="4">
                  <c:v>0.35158577341584069</c:v>
                </c:pt>
                <c:pt idx="5">
                  <c:v>0.33469809999684974</c:v>
                </c:pt>
                <c:pt idx="6">
                  <c:v>0.33813932420748966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8-4A06-92E1-82D8430B850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242445168"/>
        <c:axId val="-242442848"/>
        <c:extLst/>
      </c:barChart>
      <c:catAx>
        <c:axId val="-24244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42442848"/>
        <c:crossesAt val="0"/>
        <c:auto val="1"/>
        <c:lblAlgn val="ctr"/>
        <c:lblOffset val="100"/>
        <c:noMultiLvlLbl val="0"/>
      </c:catAx>
      <c:valAx>
        <c:axId val="-2424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42445168"/>
        <c:crosses val="autoZero"/>
        <c:crossBetween val="between"/>
      </c:valAx>
      <c:spPr>
        <a:noFill/>
        <a:ln w="15875"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 w="12700"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FF"/>
              </a:solidFill>
              <a:latin typeface="+mn-lt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C00000"/>
      </a:solidFill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rgbClr val="0000FF"/>
                </a:solidFill>
              </a:defRPr>
            </a:pPr>
            <a:r>
              <a:rPr lang="en-US" sz="1050">
                <a:solidFill>
                  <a:srgbClr val="0000FF"/>
                </a:solidFill>
              </a:rPr>
              <a:t>FINANCIAL SUMMARY</a:t>
            </a:r>
          </a:p>
        </c:rich>
      </c:tx>
      <c:layout/>
      <c:overlay val="0"/>
      <c:spPr>
        <a:solidFill>
          <a:schemeClr val="accent3">
            <a:lumMod val="60000"/>
            <a:lumOff val="40000"/>
          </a:schemeClr>
        </a:solidFill>
        <a:ln w="15875">
          <a:solidFill>
            <a:srgbClr val="0000FF"/>
          </a:solidFill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'Raw Data'!$B$73:$J$73</c:f>
              <c:strCache>
                <c:ptCount val="9"/>
                <c:pt idx="0">
                  <c:v>CASH FLOW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fld id="{FDFDA5B5-6BC8-428E-968B-9639887F2A7B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441-4838-92DC-88A95D4D00F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2073A93-8F42-4DF1-9694-8B79C40DDD8F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441-4838-92DC-88A95D4D00F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D94E09F-31C2-4094-A059-A17AA0659A23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441-4838-92DC-88A95D4D00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Data'!$C$126:$I$126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Data'!$C$76:$I$76</c:f>
              <c:numCache>
                <c:formatCode>_(* #,##0_);_(* \(#,##0\);_(* "-"??_);_(@_)</c:formatCode>
                <c:ptCount val="7"/>
                <c:pt idx="0">
                  <c:v>56801.329999999994</c:v>
                </c:pt>
                <c:pt idx="1">
                  <c:v>-21571.849999999991</c:v>
                </c:pt>
                <c:pt idx="2">
                  <c:v>-6711.5199999999895</c:v>
                </c:pt>
                <c:pt idx="3">
                  <c:v>47146.290000000008</c:v>
                </c:pt>
                <c:pt idx="4">
                  <c:v>2034.4599999999919</c:v>
                </c:pt>
                <c:pt idx="5">
                  <c:v>-12948.979999999996</c:v>
                </c:pt>
                <c:pt idx="6">
                  <c:v>24637.989999999998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41-4838-92DC-88A95D4D00FE}"/>
            </c:ext>
          </c:extLst>
        </c:ser>
        <c:ser>
          <c:idx val="4"/>
          <c:order val="1"/>
          <c:tx>
            <c:strRef>
              <c:f>'Raw Data'!$B$128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Data'!$C$126:$I$126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Data'!$C$128:$I$128</c:f>
              <c:numCache>
                <c:formatCode>_(* #,##0_);_(* \(#,##0\);_(* "-"??_);_(@_)</c:formatCode>
                <c:ptCount val="7"/>
                <c:pt idx="0">
                  <c:v>84700.23</c:v>
                </c:pt>
                <c:pt idx="1">
                  <c:v>81161.189999999973</c:v>
                </c:pt>
                <c:pt idx="2">
                  <c:v>75000.85000000002</c:v>
                </c:pt>
                <c:pt idx="3">
                  <c:v>67412.959999999992</c:v>
                </c:pt>
                <c:pt idx="4">
                  <c:v>68657.400000000009</c:v>
                </c:pt>
                <c:pt idx="5">
                  <c:v>68959.500000000015</c:v>
                </c:pt>
                <c:pt idx="6">
                  <c:v>71378.589999999982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41-4838-92DC-88A95D4D00FE}"/>
            </c:ext>
          </c:extLst>
        </c:ser>
        <c:ser>
          <c:idx val="2"/>
          <c:order val="2"/>
          <c:tx>
            <c:strRef>
              <c:f>'Raw Data'!$B$129</c:f>
              <c:strCache>
                <c:ptCount val="1"/>
                <c:pt idx="0">
                  <c:v>INTEREST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Data'!$C$126:$I$126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Data'!$C$129:$I$129</c:f>
              <c:numCache>
                <c:formatCode>_(* #,##0_);_(* \(#,##0\);_(* "-"??_);_(@_)</c:formatCode>
                <c:ptCount val="7"/>
                <c:pt idx="0">
                  <c:v>68067.73</c:v>
                </c:pt>
                <c:pt idx="1">
                  <c:v>61480.53</c:v>
                </c:pt>
                <c:pt idx="2">
                  <c:v>68067.73</c:v>
                </c:pt>
                <c:pt idx="3">
                  <c:v>65872</c:v>
                </c:pt>
                <c:pt idx="4">
                  <c:v>68067.73</c:v>
                </c:pt>
                <c:pt idx="5">
                  <c:v>65872</c:v>
                </c:pt>
                <c:pt idx="6">
                  <c:v>68067.73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41-4838-92DC-88A95D4D00FE}"/>
            </c:ext>
          </c:extLst>
        </c:ser>
        <c:ser>
          <c:idx val="3"/>
          <c:order val="3"/>
          <c:tx>
            <c:strRef>
              <c:f>'Raw Data'!$B$130</c:f>
              <c:strCache>
                <c:ptCount val="1"/>
                <c:pt idx="0">
                  <c:v>NET OPERATING INCOME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Data'!$C$126:$I$126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Data'!$C$130:$I$130</c:f>
              <c:numCache>
                <c:formatCode>_(* #,##0_);_(* \(#,##0\);_(* "-"??_);_(@_)</c:formatCode>
                <c:ptCount val="7"/>
                <c:pt idx="0">
                  <c:v>154329.28</c:v>
                </c:pt>
                <c:pt idx="1">
                  <c:v>146311.22999999998</c:v>
                </c:pt>
                <c:pt idx="2">
                  <c:v>145167.08000000002</c:v>
                </c:pt>
                <c:pt idx="3">
                  <c:v>135626.49</c:v>
                </c:pt>
                <c:pt idx="4">
                  <c:v>138266.66</c:v>
                </c:pt>
                <c:pt idx="5">
                  <c:v>149480.64000000001</c:v>
                </c:pt>
                <c:pt idx="6">
                  <c:v>140987.84999999998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41-4838-92DC-88A95D4D00FE}"/>
            </c:ext>
          </c:extLst>
        </c:ser>
        <c:ser>
          <c:idx val="1"/>
          <c:order val="4"/>
          <c:tx>
            <c:strRef>
              <c:f>'Raw Data'!$B$131</c:f>
              <c:strCache>
                <c:ptCount val="1"/>
                <c:pt idx="0">
                  <c:v>RENTAL INCOME-COMMERCIAL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Data'!$C$126:$I$126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Data'!$C$131:$I$131</c:f>
              <c:numCache>
                <c:formatCode>_(* #,##0_);_(* \(#,##0\);_(* "-"??_);_(@_)</c:formatCode>
                <c:ptCount val="7"/>
                <c:pt idx="0">
                  <c:v>11687.5</c:v>
                </c:pt>
                <c:pt idx="1">
                  <c:v>11687.5</c:v>
                </c:pt>
                <c:pt idx="2">
                  <c:v>11687.5</c:v>
                </c:pt>
                <c:pt idx="3">
                  <c:v>11687.5</c:v>
                </c:pt>
                <c:pt idx="4">
                  <c:v>11687.5</c:v>
                </c:pt>
                <c:pt idx="5">
                  <c:v>11775</c:v>
                </c:pt>
                <c:pt idx="6">
                  <c:v>11875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41-4838-92DC-88A95D4D00FE}"/>
            </c:ext>
          </c:extLst>
        </c:ser>
        <c:ser>
          <c:idx val="5"/>
          <c:order val="5"/>
          <c:tx>
            <c:strRef>
              <c:f>'Raw Data'!$B$132</c:f>
              <c:strCache>
                <c:ptCount val="1"/>
                <c:pt idx="0">
                  <c:v>RENTAL INCOME-RESIDENTIAL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Data'!$C$126:$I$126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Data'!$C$132:$I$132</c:f>
              <c:numCache>
                <c:formatCode>_(* #,##0_);_(* \(#,##0\);_(* "-"??_);_(@_)</c:formatCode>
                <c:ptCount val="7"/>
                <c:pt idx="0">
                  <c:v>169607.54</c:v>
                </c:pt>
                <c:pt idx="1">
                  <c:v>170882.84</c:v>
                </c:pt>
                <c:pt idx="2">
                  <c:v>166748.79</c:v>
                </c:pt>
                <c:pt idx="3">
                  <c:v>152517.18</c:v>
                </c:pt>
                <c:pt idx="4">
                  <c:v>171291.81</c:v>
                </c:pt>
                <c:pt idx="5">
                  <c:v>174280.94</c:v>
                </c:pt>
                <c:pt idx="6">
                  <c:v>172896.37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41-4838-92DC-88A95D4D00FE}"/>
            </c:ext>
          </c:extLst>
        </c:ser>
        <c:ser>
          <c:idx val="6"/>
          <c:order val="6"/>
          <c:tx>
            <c:strRef>
              <c:f>'Raw Data'!$B$133</c:f>
              <c:strCache>
                <c:ptCount val="1"/>
                <c:pt idx="0">
                  <c:v>OTHER RENTAL INCOME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'Raw Data'!$C$126:$I$126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'Raw Data'!$C$133:$I$133</c:f>
              <c:numCache>
                <c:formatCode>_(* #,##0_);_(* \(#,##0\);_(* "-"??_);_(@_)</c:formatCode>
                <c:ptCount val="7"/>
                <c:pt idx="0">
                  <c:v>25901.55</c:v>
                </c:pt>
                <c:pt idx="1">
                  <c:v>13890.369999999999</c:v>
                </c:pt>
                <c:pt idx="2">
                  <c:v>15131.470000000001</c:v>
                </c:pt>
                <c:pt idx="3">
                  <c:v>20748.66</c:v>
                </c:pt>
                <c:pt idx="4">
                  <c:v>10622.75</c:v>
                </c:pt>
                <c:pt idx="5">
                  <c:v>10754.26</c:v>
                </c:pt>
                <c:pt idx="6">
                  <c:v>16529.47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41-4838-92DC-88A95D4D00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239394656"/>
        <c:axId val="-239392336"/>
        <c:extLst/>
      </c:barChart>
      <c:catAx>
        <c:axId val="-2393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000" b="1">
                <a:solidFill>
                  <a:schemeClr val="accent6">
                    <a:lumMod val="50000"/>
                  </a:schemeClr>
                </a:solidFill>
              </a:defRPr>
            </a:pPr>
            <a:endParaRPr lang="en-US"/>
          </a:p>
        </c:txPr>
        <c:crossAx val="-239392336"/>
        <c:crossesAt val="0"/>
        <c:auto val="1"/>
        <c:lblAlgn val="ctr"/>
        <c:lblOffset val="100"/>
        <c:noMultiLvlLbl val="0"/>
      </c:catAx>
      <c:valAx>
        <c:axId val="-23939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39394656"/>
        <c:crosses val="autoZero"/>
        <c:crossBetween val="between"/>
      </c:valAx>
      <c:spPr>
        <a:noFill/>
        <a:ln w="15875"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172615353184109"/>
          <c:y val="0.92487647883416002"/>
          <c:w val="0.82738463602592804"/>
          <c:h val="6.1384983415439402E-2"/>
        </c:manualLayout>
      </c:layout>
      <c:overlay val="0"/>
      <c:spPr>
        <a:noFill/>
        <a:ln w="12700">
          <a:solidFill>
            <a:srgbClr val="0000FF"/>
          </a:solidFill>
        </a:ln>
        <a:effectLst/>
      </c:spPr>
      <c:txPr>
        <a:bodyPr rot="0" vert="horz"/>
        <a:lstStyle/>
        <a:p>
          <a:pPr>
            <a:defRPr sz="1050" b="0">
              <a:solidFill>
                <a:srgbClr val="0000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C00000"/>
      </a:solidFill>
      <a:round/>
    </a:ln>
    <a:effectLst/>
  </c:spPr>
  <c:txPr>
    <a:bodyPr/>
    <a:lstStyle/>
    <a:p>
      <a:pPr>
        <a:defRPr sz="900">
          <a:latin typeface="+mn-lt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aseline="0"/>
            </a:pPr>
            <a:r>
              <a:rPr lang="en-US" sz="1050" b="1" i="0" u="sng" baseline="0">
                <a:solidFill>
                  <a:srgbClr val="0000FF"/>
                </a:solidFill>
                <a:effectLst/>
              </a:rPr>
              <a:t>ACTUAL  V/S   BUDGET</a:t>
            </a:r>
            <a:endParaRPr lang="en-US" sz="1050">
              <a:solidFill>
                <a:srgbClr val="0000FF"/>
              </a:solidFill>
              <a:effectLst/>
            </a:endParaRPr>
          </a:p>
        </c:rich>
      </c:tx>
      <c:layout>
        <c:manualLayout>
          <c:xMode val="edge"/>
          <c:yMode val="edge"/>
          <c:x val="0.43353525924945202"/>
          <c:y val="3.8878868134210799E-2"/>
        </c:manualLayout>
      </c:layout>
      <c:overlay val="0"/>
      <c:spPr>
        <a:noFill/>
        <a:ln w="12700">
          <a:noFill/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rgbClr val="E6E8E6"/>
        </a:solidFill>
        <a:ln w="15875">
          <a:solidFill>
            <a:srgbClr val="0000FF"/>
          </a:solidFill>
        </a:ln>
      </c:spPr>
    </c:sideWall>
    <c:backWall>
      <c:thickness val="0"/>
      <c:spPr>
        <a:solidFill>
          <a:srgbClr val="E6E8E6"/>
        </a:solidFill>
        <a:ln w="15875">
          <a:solidFill>
            <a:srgbClr val="0000FF"/>
          </a:solidFill>
        </a:ln>
      </c:spPr>
    </c:backWall>
    <c:plotArea>
      <c:layout>
        <c:manualLayout>
          <c:layoutTarget val="inner"/>
          <c:xMode val="edge"/>
          <c:yMode val="edge"/>
          <c:x val="0.15556068059360001"/>
          <c:y val="0.147977840704823"/>
          <c:w val="0.80619711286089202"/>
          <c:h val="0.638562341869427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'Key Dashboards-July 2017'!$D$121:$D$122</c:f>
              <c:strCache>
                <c:ptCount val="2"/>
                <c:pt idx="0">
                  <c:v>JULY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7AD-4E3E-A66F-0E8FDC7486D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7AD-4E3E-A66F-0E8FDC7486DD}"/>
              </c:ext>
            </c:extLst>
          </c:dPt>
          <c:dLbls>
            <c:dLbl>
              <c:idx val="0"/>
              <c:layout>
                <c:manualLayout>
                  <c:x val="-1.6358043776373499E-2"/>
                  <c:y val="-2.2125772573463802E-3"/>
                </c:manualLayout>
              </c:layout>
              <c:tx>
                <c:rich>
                  <a:bodyPr/>
                  <a:lstStyle/>
                  <a:p>
                    <a:fld id="{C1F81FC4-F512-41DB-B163-23125C3A661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7AD-4E3E-A66F-0E8FDC7486DD}"/>
                </c:ext>
              </c:extLst>
            </c:dLbl>
            <c:dLbl>
              <c:idx val="1"/>
              <c:layout>
                <c:manualLayout>
                  <c:x val="-1.8214558297324102E-2"/>
                  <c:y val="1.61168850730532E-2"/>
                </c:manualLayout>
              </c:layout>
              <c:tx>
                <c:rich>
                  <a:bodyPr/>
                  <a:lstStyle/>
                  <a:p>
                    <a:fld id="{D4EEA089-6E6D-4C74-A0F2-D2528BF6007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7AD-4E3E-A66F-0E8FDC7486DD}"/>
                </c:ext>
              </c:extLst>
            </c:dLbl>
            <c:dLbl>
              <c:idx val="2"/>
              <c:layout>
                <c:manualLayout>
                  <c:x val="-2.4110356411052601E-2"/>
                  <c:y val="1.160619038144099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rgbClr val="0000FF"/>
                        </a:solidFill>
                      </a:rPr>
                      <a:t>$</a:t>
                    </a:r>
                    <a:fld id="{B4973A64-D47E-4314-87CC-A5F3669D542B}" type="VALUE">
                      <a:rPr lang="en-US"/>
                      <a:pPr/>
                      <a:t>[VALUE]</a:t>
                    </a:fld>
                    <a:endParaRPr lang="en-US" sz="800" b="1" i="0" u="none" strike="noStrike" kern="1200" baseline="0">
                      <a:solidFill>
                        <a:srgbClr val="0000FF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7AD-4E3E-A66F-0E8FDC7486DD}"/>
                </c:ext>
              </c:extLst>
            </c:dLbl>
            <c:dLbl>
              <c:idx val="3"/>
              <c:layout>
                <c:manualLayout>
                  <c:x val="-8.5051648227276906E-3"/>
                  <c:y val="7.6701025304396001E-3"/>
                </c:manualLayout>
              </c:layout>
              <c:tx>
                <c:rich>
                  <a:bodyPr/>
                  <a:lstStyle/>
                  <a:p>
                    <a:fld id="{09492B2F-1CD0-4530-BB21-0FD717C5C0E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7AD-4E3E-A66F-0E8FDC7486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('Key Dashboards-July 2017'!$C$126,'Key Dashboards-July 2017'!$C$139,'Key Dashboards-July 2017'!$C$141,'Key Dashboards-July 2017'!$C$148)</c:f>
              <c:strCache>
                <c:ptCount val="4"/>
                <c:pt idx="0">
                  <c:v>TOTAL INCOME</c:v>
                </c:pt>
                <c:pt idx="1">
                  <c:v>TOTAL OPERATING EXPENSES</c:v>
                </c:pt>
                <c:pt idx="2">
                  <c:v>NET OPERATING INCOME</c:v>
                </c:pt>
                <c:pt idx="3">
                  <c:v>NET INCOME</c:v>
                </c:pt>
              </c:strCache>
            </c:strRef>
          </c:cat>
          <c:val>
            <c:numRef>
              <c:f>('Key Dashboards-July 2017'!$D$126,'Key Dashboards-July 2017'!$D$139,'Key Dashboards-July 2017'!$D$141,'Key Dashboards-July 2017'!$D$148)</c:f>
              <c:numCache>
                <c:formatCode>_(* #,##0_);_(* \(#,##0\);_(* "-"??_);_(@_)</c:formatCode>
                <c:ptCount val="4"/>
                <c:pt idx="0">
                  <c:v>201300.84</c:v>
                </c:pt>
                <c:pt idx="1">
                  <c:v>60312.990000000005</c:v>
                </c:pt>
                <c:pt idx="2">
                  <c:v>140987.84999999998</c:v>
                </c:pt>
                <c:pt idx="3">
                  <c:v>71378.589999999982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AD-4E3E-A66F-0E8FDC7486DD}"/>
            </c:ext>
          </c:extLst>
        </c:ser>
        <c:ser>
          <c:idx val="1"/>
          <c:order val="1"/>
          <c:tx>
            <c:strRef>
              <c:f>'Key Dashboards-July 2017'!$E$121</c:f>
              <c:strCache>
                <c:ptCount val="1"/>
                <c:pt idx="0">
                  <c:v>JULY BUDGET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052504547807601E-2"/>
                  <c:y val="-2.4998806776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AD-4E3E-A66F-0E8FDC7486DD}"/>
                </c:ext>
              </c:extLst>
            </c:dLbl>
            <c:dLbl>
              <c:idx val="1"/>
              <c:layout>
                <c:manualLayout>
                  <c:x val="1.9983119145304599E-2"/>
                  <c:y val="8.2447093710503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AD-4E3E-A66F-0E8FDC7486DD}"/>
                </c:ext>
              </c:extLst>
            </c:dLbl>
            <c:dLbl>
              <c:idx val="2"/>
              <c:layout>
                <c:manualLayout>
                  <c:x val="2.3043862318124001E-2"/>
                  <c:y val="2.8724143466993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AD-4E3E-A66F-0E8FDC7486DD}"/>
                </c:ext>
              </c:extLst>
            </c:dLbl>
            <c:dLbl>
              <c:idx val="3"/>
              <c:layout>
                <c:manualLayout>
                  <c:x val="2.99937651114566E-2"/>
                  <c:y val="-4.1381610225646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AD-4E3E-A66F-0E8FDC7486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('Key Dashboards-July 2017'!$E$126,'Key Dashboards-July 2017'!$E$139,'Key Dashboards-July 2017'!$E$141,'Key Dashboards-July 2017'!$E$148)</c:f>
              <c:numCache>
                <c:formatCode>_(* #,##0_);_(* \(#,##0\);_(* "-"??_);_(@_)</c:formatCode>
                <c:ptCount val="4"/>
                <c:pt idx="0">
                  <c:v>186436</c:v>
                </c:pt>
                <c:pt idx="1">
                  <c:v>50518.28</c:v>
                </c:pt>
                <c:pt idx="2">
                  <c:v>135917.72</c:v>
                </c:pt>
                <c:pt idx="3">
                  <c:v>69595.72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AD-4E3E-A66F-0E8FDC7486DD}"/>
            </c:ext>
          </c:extLst>
        </c:ser>
        <c:ser>
          <c:idx val="2"/>
          <c:order val="2"/>
          <c:tx>
            <c:strRef>
              <c:f>'Key Dashboards-July 2017'!$F$121:$F$122</c:f>
              <c:strCache>
                <c:ptCount val="2"/>
                <c:pt idx="0">
                  <c:v>JULY VARIANCE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Lbl>
              <c:idx val="0"/>
              <c:layout>
                <c:manualLayout>
                  <c:x val="1.8001259478738301E-2"/>
                  <c:y val="-7.5622475247441798E-5"/>
                </c:manualLayout>
              </c:layout>
              <c:tx>
                <c:rich>
                  <a:bodyPr/>
                  <a:lstStyle/>
                  <a:p>
                    <a:fld id="{6D8A752E-99ED-4908-A6CE-12F9CA520F0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C7AD-4E3E-A66F-0E8FDC7486DD}"/>
                </c:ext>
              </c:extLst>
            </c:dLbl>
            <c:dLbl>
              <c:idx val="1"/>
              <c:layout>
                <c:manualLayout>
                  <c:x val="1.6370433189698001E-2"/>
                  <c:y val="2.8724143466993001E-3"/>
                </c:manualLayout>
              </c:layout>
              <c:tx>
                <c:rich>
                  <a:bodyPr/>
                  <a:lstStyle/>
                  <a:p>
                    <a:fld id="{A9DB1504-73B6-4629-BE99-23600BADC08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7AD-4E3E-A66F-0E8FDC7486DD}"/>
                </c:ext>
              </c:extLst>
            </c:dLbl>
            <c:dLbl>
              <c:idx val="2"/>
              <c:layout>
                <c:manualLayout>
                  <c:x val="1.3828482747797801E-2"/>
                  <c:y val="-6.3163362522369003E-3"/>
                </c:manualLayout>
              </c:layout>
              <c:tx>
                <c:rich>
                  <a:bodyPr/>
                  <a:lstStyle/>
                  <a:p>
                    <a:fld id="{84234A01-95BE-4DBD-94EF-BEB5C86355C4}" type="VALUE">
                      <a:rPr lang="en-US">
                        <a:solidFill>
                          <a:srgbClr val="0000FF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C7AD-4E3E-A66F-0E8FDC7486DD}"/>
                </c:ext>
              </c:extLst>
            </c:dLbl>
            <c:dLbl>
              <c:idx val="3"/>
              <c:layout>
                <c:manualLayout>
                  <c:x val="1.7255662352546299E-2"/>
                  <c:y val="-2.1312830964552301E-2"/>
                </c:manualLayout>
              </c:layout>
              <c:tx>
                <c:rich>
                  <a:bodyPr/>
                  <a:lstStyle/>
                  <a:p>
                    <a:fld id="{4F3C1BCF-4EBB-4A8A-A1A2-B6143F27521D}" type="VALUE">
                      <a:rPr lang="en-US">
                        <a:solidFill>
                          <a:srgbClr val="0000FF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C7AD-4E3E-A66F-0E8FDC7486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('Key Dashboards-July 2017'!$C$126,'Key Dashboards-July 2017'!$C$139,'Key Dashboards-July 2017'!$C$141,'Key Dashboards-July 2017'!$C$148)</c:f>
              <c:strCache>
                <c:ptCount val="4"/>
                <c:pt idx="0">
                  <c:v>TOTAL INCOME</c:v>
                </c:pt>
                <c:pt idx="1">
                  <c:v>TOTAL OPERATING EXPENSES</c:v>
                </c:pt>
                <c:pt idx="2">
                  <c:v>NET OPERATING INCOME</c:v>
                </c:pt>
                <c:pt idx="3">
                  <c:v>NET INCOME</c:v>
                </c:pt>
              </c:strCache>
            </c:strRef>
          </c:cat>
          <c:val>
            <c:numRef>
              <c:f>('Key Dashboards-July 2017'!$F$126,'Key Dashboards-July 2017'!$F$139,'Key Dashboards-July 2017'!$F$141,'Key Dashboards-July 2017'!$F$148)</c:f>
              <c:numCache>
                <c:formatCode>_(* #,##0_);_(* \(#,##0\);_(* "-"??_);_(@_)</c:formatCode>
                <c:ptCount val="4"/>
                <c:pt idx="0">
                  <c:v>14864.839999999997</c:v>
                </c:pt>
                <c:pt idx="1">
                  <c:v>9794.7099999999991</c:v>
                </c:pt>
                <c:pt idx="2">
                  <c:v>5070.1299999999974</c:v>
                </c:pt>
                <c:pt idx="3">
                  <c:v>1782.8700000000026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7AD-4E3E-A66F-0E8FDC7486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42402288"/>
        <c:axId val="-242399456"/>
        <c:axId val="0"/>
      </c:bar3DChart>
      <c:catAx>
        <c:axId val="-24240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headEnd type="triangle" w="sm" len="sm"/>
          </a:ln>
        </c:spPr>
        <c:txPr>
          <a:bodyPr/>
          <a:lstStyle/>
          <a:p>
            <a:pPr>
              <a:defRPr sz="850" b="1" baseline="0">
                <a:solidFill>
                  <a:srgbClr val="0000FF"/>
                </a:solidFill>
              </a:defRPr>
            </a:pPr>
            <a:endParaRPr lang="en-US"/>
          </a:p>
        </c:txPr>
        <c:crossAx val="-242399456"/>
        <c:crosses val="autoZero"/>
        <c:auto val="1"/>
        <c:lblAlgn val="ctr"/>
        <c:lblOffset val="100"/>
        <c:noMultiLvlLbl val="0"/>
      </c:catAx>
      <c:valAx>
        <c:axId val="-2423994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-242402288"/>
        <c:crosses val="autoZero"/>
        <c:crossBetween val="between"/>
        <c:majorUnit val="40000"/>
        <c:minorUnit val="20000"/>
      </c:valAx>
    </c:plotArea>
    <c:legend>
      <c:legendPos val="r"/>
      <c:layout>
        <c:manualLayout>
          <c:xMode val="edge"/>
          <c:yMode val="edge"/>
          <c:x val="2.23754787164838E-2"/>
          <c:y val="0.299406933493921"/>
          <c:w val="7.5068966281757105E-2"/>
          <c:h val="0.38403627698349202"/>
        </c:manualLayout>
      </c:layout>
      <c:overlay val="0"/>
      <c:spPr>
        <a:ln w="12700">
          <a:solidFill>
            <a:srgbClr val="0000FF"/>
          </a:solidFill>
        </a:ln>
      </c:spPr>
      <c:txPr>
        <a:bodyPr/>
        <a:lstStyle/>
        <a:p>
          <a:pPr>
            <a:defRPr sz="900" b="1">
              <a:solidFill>
                <a:srgbClr val="0000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9050">
      <a:solidFill>
        <a:srgbClr val="0000FF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sng" baseline="0">
                <a:solidFill>
                  <a:srgbClr val="0000FF"/>
                </a:solidFill>
                <a:effectLst/>
              </a:rPr>
              <a:t>FINANCIAL DASHBOARD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sng" baseline="0">
                <a:solidFill>
                  <a:srgbClr val="0000FF"/>
                </a:solidFill>
                <a:effectLst/>
              </a:rPr>
              <a:t>  </a:t>
            </a:r>
            <a:endParaRPr lang="en-US" sz="1050">
              <a:solidFill>
                <a:srgbClr val="0000FF"/>
              </a:solidFill>
              <a:effectLst/>
            </a:endParaRPr>
          </a:p>
        </c:rich>
      </c:tx>
      <c:layout>
        <c:manualLayout>
          <c:xMode val="edge"/>
          <c:yMode val="edge"/>
          <c:x val="0.30635378706071897"/>
          <c:y val="2.263318921761850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 w="15875">
          <a:solidFill>
            <a:srgbClr val="0000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 w="15875">
          <a:solidFill>
            <a:srgbClr val="0000FF"/>
          </a:solidFill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'Key Dashboards-July 2017'!$D$121:$D$122</c:f>
              <c:strCache>
                <c:ptCount val="2"/>
                <c:pt idx="0">
                  <c:v>JULY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E99E75F-4F08-43D7-A055-B54E2FA9CB8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E70-4C1E-B163-157A2F4E098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AD47125-812C-45B4-9A27-1B873E66E49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E70-4C1E-B163-157A2F4E098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E6EE40D-4C0C-45D4-BD02-FD146C1FCDE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E70-4C1E-B163-157A2F4E098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C8A1138-E3EC-498C-88AE-96E068AF425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E70-4C1E-B163-157A2F4E09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('Key Dashboards-July 2017'!$C$126,'Key Dashboards-July 2017'!$C$139,'Key Dashboards-July 2017'!$C$141,'Key Dashboards-July 2017'!$C$148)</c:f>
              <c:strCache>
                <c:ptCount val="4"/>
                <c:pt idx="0">
                  <c:v>TOTAL INCOME</c:v>
                </c:pt>
                <c:pt idx="1">
                  <c:v>TOTAL OPERATING EXPENSES</c:v>
                </c:pt>
                <c:pt idx="2">
                  <c:v>NET OPERATING INCOME</c:v>
                </c:pt>
                <c:pt idx="3">
                  <c:v>NET INCOME</c:v>
                </c:pt>
              </c:strCache>
            </c:strRef>
          </c:cat>
          <c:val>
            <c:numRef>
              <c:f>('Key Dashboards-July 2017'!$D$126,'Key Dashboards-July 2017'!$D$139,'Key Dashboards-July 2017'!$D$141,'Key Dashboards-July 2017'!$D$148)</c:f>
              <c:numCache>
                <c:formatCode>_(* #,##0_);_(* \(#,##0\);_(* "-"??_);_(@_)</c:formatCode>
                <c:ptCount val="4"/>
                <c:pt idx="0">
                  <c:v>201300.84</c:v>
                </c:pt>
                <c:pt idx="1">
                  <c:v>60312.990000000005</c:v>
                </c:pt>
                <c:pt idx="2">
                  <c:v>140987.84999999998</c:v>
                </c:pt>
                <c:pt idx="3">
                  <c:v>71378.589999999982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70-4C1E-B163-157A2F4E098D}"/>
            </c:ext>
          </c:extLst>
        </c:ser>
        <c:ser>
          <c:idx val="1"/>
          <c:order val="1"/>
          <c:tx>
            <c:strRef>
              <c:f>'Key Dashboards-July 2017'!$G$121</c:f>
              <c:strCache>
                <c:ptCount val="1"/>
                <c:pt idx="0">
                  <c:v>JULY YTD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2017'!$C$126,'Key Dashboards-July 2017'!$C$139,'Key Dashboards-July 2017'!$C$141,'Key Dashboards-July 2017'!$C$148)</c:f>
              <c:strCache>
                <c:ptCount val="4"/>
                <c:pt idx="0">
                  <c:v>TOTAL INCOME</c:v>
                </c:pt>
                <c:pt idx="1">
                  <c:v>TOTAL OPERATING EXPENSES</c:v>
                </c:pt>
                <c:pt idx="2">
                  <c:v>NET OPERATING INCOME</c:v>
                </c:pt>
                <c:pt idx="3">
                  <c:v>NET INCOME</c:v>
                </c:pt>
              </c:strCache>
            </c:strRef>
          </c:cat>
          <c:val>
            <c:numRef>
              <c:f>('Key Dashboards-July 2017'!$G$126,'Key Dashboards-July 2017'!$G$139,'Key Dashboards-July 2017'!$G$141,'Key Dashboards-July 2017'!$G$148)</c:f>
              <c:numCache>
                <c:formatCode>_(* #,##0_);_(* \(#,##0\);_(* "-"??_);_(@_)</c:formatCode>
                <c:ptCount val="4"/>
                <c:pt idx="0">
                  <c:v>1373891.5</c:v>
                </c:pt>
                <c:pt idx="1">
                  <c:v>363722.27</c:v>
                </c:pt>
                <c:pt idx="2">
                  <c:v>1010169.23</c:v>
                </c:pt>
                <c:pt idx="3">
                  <c:v>517270.72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70-4C1E-B163-157A2F4E09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42379936"/>
        <c:axId val="-242377616"/>
        <c:axId val="0"/>
      </c:bar3DChart>
      <c:catAx>
        <c:axId val="-242379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50" b="1" baseline="0">
                <a:solidFill>
                  <a:srgbClr val="0000FF"/>
                </a:solidFill>
              </a:defRPr>
            </a:pPr>
            <a:endParaRPr lang="en-US"/>
          </a:p>
        </c:txPr>
        <c:crossAx val="-242377616"/>
        <c:crosses val="autoZero"/>
        <c:auto val="1"/>
        <c:lblAlgn val="ctr"/>
        <c:lblOffset val="100"/>
        <c:noMultiLvlLbl val="0"/>
      </c:catAx>
      <c:valAx>
        <c:axId val="-2423776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-2423799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 b="1" baseline="0">
              <a:solidFill>
                <a:srgbClr val="0000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19050">
      <a:solidFill>
        <a:srgbClr val="0000FF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sng" baseline="0">
                <a:solidFill>
                  <a:srgbClr val="0000FF"/>
                </a:solidFill>
                <a:effectLst/>
              </a:rPr>
              <a:t>FINANCIAL DASHBOARD (PER SQFT BASIS) </a:t>
            </a:r>
            <a:endParaRPr lang="en-US" sz="1050">
              <a:solidFill>
                <a:srgbClr val="0000FF"/>
              </a:solidFill>
              <a:effectLst/>
            </a:endParaRPr>
          </a:p>
        </c:rich>
      </c:tx>
      <c:layout>
        <c:manualLayout>
          <c:xMode val="edge"/>
          <c:yMode val="edge"/>
          <c:x val="0.30635378706071897"/>
          <c:y val="2.263318921761850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 w="15875">
          <a:solidFill>
            <a:srgbClr val="0000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 w="15875">
          <a:solidFill>
            <a:srgbClr val="0000FF"/>
          </a:solidFill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'Key Dashboards-July 2017'!$I$122</c:f>
              <c:strCache>
                <c:ptCount val="1"/>
                <c:pt idx="0">
                  <c:v>JULY SQFT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B454BA1-5601-4362-86B1-94CEE7A69B2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203-438C-9E7C-41B5DBA2432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EB8AE3F-5F25-4F89-A303-1F9830F4B66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203-438C-9E7C-41B5DBA2432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C2CE4B7-DCE7-4FD4-B7D2-D34B739CF42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203-438C-9E7C-41B5DBA2432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2B1C1BD-51C8-42D3-8C17-8DE9D352358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203-438C-9E7C-41B5DBA243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b" anchorCtr="1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('Key Dashboards-July 2017'!$C$126,'Key Dashboards-July 2017'!$C$139,'Key Dashboards-July 2017'!$C$141,'Key Dashboards-July 2017'!$C$148)</c:f>
              <c:strCache>
                <c:ptCount val="4"/>
                <c:pt idx="0">
                  <c:v>TOTAL INCOME</c:v>
                </c:pt>
                <c:pt idx="1">
                  <c:v>TOTAL OPERATING EXPENSES</c:v>
                </c:pt>
                <c:pt idx="2">
                  <c:v>NET OPERATING INCOME</c:v>
                </c:pt>
                <c:pt idx="3">
                  <c:v>NET INCOME</c:v>
                </c:pt>
              </c:strCache>
            </c:strRef>
          </c:cat>
          <c:val>
            <c:numRef>
              <c:f>('Key Dashboards-July 2017'!$I$126,'Key Dashboards-July 2017'!$I$139,'Key Dashboards-July 2017'!$I$141,'Key Dashboards-July 2017'!$I$148)</c:f>
              <c:numCache>
                <c:formatCode>_(* #,##0.0_);_(* \(#,##0.0\);_(* "-"??_);_(@_)</c:formatCode>
                <c:ptCount val="4"/>
                <c:pt idx="0">
                  <c:v>9.8650552210190909</c:v>
                </c:pt>
                <c:pt idx="1">
                  <c:v>1.5256365568006474</c:v>
                </c:pt>
                <c:pt idx="2" formatCode="_(* #,##0.00_);_(* \(#,##0.00\);_(* &quot;-&quot;??_);_(@_)">
                  <c:v>8.339418664218444</c:v>
                </c:pt>
                <c:pt idx="3">
                  <c:v>6.5786299560505839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03-438C-9E7C-41B5DBA24324}"/>
            </c:ext>
          </c:extLst>
        </c:ser>
        <c:ser>
          <c:idx val="0"/>
          <c:order val="1"/>
          <c:tx>
            <c:strRef>
              <c:f>'Key Dashboards-July 2017'!$K$122</c:f>
              <c:strCache>
                <c:ptCount val="1"/>
                <c:pt idx="0">
                  <c:v>JULY YTD (SQFT)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('Key Dashboards-July 2017'!$C$126,'Key Dashboards-July 2017'!$C$139,'Key Dashboards-July 2017'!$C$141,'Key Dashboards-July 2017'!$C$148)</c:f>
              <c:strCache>
                <c:ptCount val="4"/>
                <c:pt idx="0">
                  <c:v>TOTAL INCOME</c:v>
                </c:pt>
                <c:pt idx="1">
                  <c:v>TOTAL OPERATING EXPENSES</c:v>
                </c:pt>
                <c:pt idx="2">
                  <c:v>NET OPERATING INCOME</c:v>
                </c:pt>
                <c:pt idx="3">
                  <c:v>NET INCOME</c:v>
                </c:pt>
              </c:strCache>
            </c:strRef>
          </c:cat>
          <c:val>
            <c:numRef>
              <c:f>('Key Dashboards-July 2017'!$K$126,'Key Dashboards-July 2017'!$K$139,'Key Dashboards-July 2017'!$K$141,'Key Dashboards-July 2017'!$K$148)</c:f>
              <c:numCache>
                <c:formatCode>_(* #,##0.0_);_(* \(#,##0.0\);_(* "-"??_);_(@_)</c:formatCode>
                <c:ptCount val="4"/>
                <c:pt idx="0">
                  <c:v>67.717510193611105</c:v>
                </c:pt>
                <c:pt idx="1">
                  <c:v>9.2004722636784457</c:v>
                </c:pt>
                <c:pt idx="2" formatCode="_(* #,##0.00_);_(* \(#,##0.00\);_(* &quot;-&quot;??_);_(@_)">
                  <c:v>58.517037929932656</c:v>
                </c:pt>
                <c:pt idx="3">
                  <c:v>46.049010965118448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03-438C-9E7C-41B5DBA243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39497120"/>
        <c:axId val="-439494800"/>
        <c:axId val="0"/>
      </c:bar3DChart>
      <c:catAx>
        <c:axId val="-439497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50" b="1" baseline="0">
                <a:solidFill>
                  <a:srgbClr val="0000FF"/>
                </a:solidFill>
              </a:defRPr>
            </a:pPr>
            <a:endParaRPr lang="en-US"/>
          </a:p>
        </c:txPr>
        <c:crossAx val="-439494800"/>
        <c:crosses val="autoZero"/>
        <c:auto val="1"/>
        <c:lblAlgn val="ctr"/>
        <c:lblOffset val="100"/>
        <c:noMultiLvlLbl val="0"/>
      </c:catAx>
      <c:valAx>
        <c:axId val="-43949480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none"/>
        <c:minorTickMark val="none"/>
        <c:tickLblPos val="nextTo"/>
        <c:crossAx val="-439497120"/>
        <c:crosses val="autoZero"/>
        <c:crossBetween val="between"/>
        <c:majorUnit val="15"/>
        <c:minorUnit val="10"/>
      </c:valAx>
    </c:plotArea>
    <c:legend>
      <c:legendPos val="r"/>
      <c:layout/>
      <c:overlay val="0"/>
      <c:txPr>
        <a:bodyPr/>
        <a:lstStyle/>
        <a:p>
          <a:pPr>
            <a:defRPr sz="800" b="1" baseline="0">
              <a:solidFill>
                <a:srgbClr val="0000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19050">
      <a:solidFill>
        <a:srgbClr val="0000FF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rend Dashboard'!A71"/><Relationship Id="rId7" Type="http://schemas.openxmlformats.org/officeDocument/2006/relationships/hyperlink" Target="#'Key Dashboards-July 2017'!A156"/><Relationship Id="rId2" Type="http://schemas.openxmlformats.org/officeDocument/2006/relationships/hyperlink" Target="#'Trend Dashboard'!A100"/><Relationship Id="rId1" Type="http://schemas.openxmlformats.org/officeDocument/2006/relationships/hyperlink" Target="#'Trend Dashboard'!A1"/><Relationship Id="rId6" Type="http://schemas.openxmlformats.org/officeDocument/2006/relationships/hyperlink" Target="#'Key Dashboards-July 2017'!A105"/><Relationship Id="rId5" Type="http://schemas.openxmlformats.org/officeDocument/2006/relationships/hyperlink" Target="#'Key Dashboards-July 2017'!A1"/><Relationship Id="rId4" Type="http://schemas.openxmlformats.org/officeDocument/2006/relationships/hyperlink" Target="#'Key Dashboards-July 2017'!A138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76200</xdr:rowOff>
    </xdr:from>
    <xdr:to>
      <xdr:col>6</xdr:col>
      <xdr:colOff>0</xdr:colOff>
      <xdr:row>7</xdr:row>
      <xdr:rowOff>123825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4895850" y="695325"/>
          <a:ext cx="2419350" cy="390525"/>
        </a:xfrm>
        <a:prstGeom prst="round2Same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solidFill>
                <a:srgbClr val="0000FF"/>
              </a:solidFill>
              <a:latin typeface="Arial" pitchFamily="34" charset="0"/>
              <a:cs typeface="Arial" pitchFamily="34" charset="0"/>
            </a:rPr>
            <a:t>TREND DASHBOARD</a:t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12</xdr:col>
      <xdr:colOff>666632</xdr:colOff>
      <xdr:row>11</xdr:row>
      <xdr:rowOff>3175</xdr:rowOff>
    </xdr:to>
    <xdr:sp macro="" textlink="">
      <xdr:nvSpPr>
        <xdr:cNvPr id="4" name="Round Same Side Corner Rectangle 3">
          <a:hlinkClick xmlns:r="http://schemas.openxmlformats.org/officeDocument/2006/relationships" r:id="rId2"/>
        </xdr:cNvPr>
        <xdr:cNvSpPr/>
      </xdr:nvSpPr>
      <xdr:spPr>
        <a:xfrm>
          <a:off x="7572375" y="1247775"/>
          <a:ext cx="3657482" cy="460375"/>
        </a:xfrm>
        <a:prstGeom prst="round2Same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n-US" sz="1000" b="1">
              <a:solidFill>
                <a:srgbClr val="0000FF"/>
              </a:solidFill>
              <a:latin typeface="Arial" pitchFamily="34" charset="0"/>
              <a:ea typeface="+mn-ea"/>
              <a:cs typeface="Arial" pitchFamily="34" charset="0"/>
            </a:rPr>
            <a:t>DATA IN SQFT AND UNIT BASIS</a:t>
          </a:r>
        </a:p>
      </xdr:txBody>
    </xdr:sp>
    <xdr:clientData/>
  </xdr:twoCellAnchor>
  <xdr:twoCellAnchor>
    <xdr:from>
      <xdr:col>6</xdr:col>
      <xdr:colOff>263524</xdr:colOff>
      <xdr:row>5</xdr:row>
      <xdr:rowOff>85725</xdr:rowOff>
    </xdr:from>
    <xdr:to>
      <xdr:col>12</xdr:col>
      <xdr:colOff>689071</xdr:colOff>
      <xdr:row>7</xdr:row>
      <xdr:rowOff>114300</xdr:rowOff>
    </xdr:to>
    <xdr:sp macro="" textlink="">
      <xdr:nvSpPr>
        <xdr:cNvPr id="5" name="Round Same Side Corner Rectangle 4">
          <a:hlinkClick xmlns:r="http://schemas.openxmlformats.org/officeDocument/2006/relationships" r:id="rId3"/>
        </xdr:cNvPr>
        <xdr:cNvSpPr/>
      </xdr:nvSpPr>
      <xdr:spPr>
        <a:xfrm>
          <a:off x="7569199" y="704850"/>
          <a:ext cx="3664047" cy="371475"/>
        </a:xfrm>
        <a:prstGeom prst="round2Same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n-US" sz="1000" b="1">
              <a:solidFill>
                <a:srgbClr val="0000FF"/>
              </a:solidFill>
              <a:latin typeface="Arial" pitchFamily="34" charset="0"/>
              <a:ea typeface="+mn-ea"/>
              <a:cs typeface="Arial" pitchFamily="34" charset="0"/>
            </a:rPr>
            <a:t>ACTUAL TO BUDGET COMPARISON TABLE</a:t>
          </a:r>
        </a:p>
      </xdr:txBody>
    </xdr:sp>
    <xdr:clientData/>
  </xdr:twoCellAnchor>
  <xdr:twoCellAnchor>
    <xdr:from>
      <xdr:col>2</xdr:col>
      <xdr:colOff>19049</xdr:colOff>
      <xdr:row>2</xdr:row>
      <xdr:rowOff>28575</xdr:rowOff>
    </xdr:from>
    <xdr:to>
      <xdr:col>12</xdr:col>
      <xdr:colOff>666749</xdr:colOff>
      <xdr:row>4</xdr:row>
      <xdr:rowOff>28575</xdr:rowOff>
    </xdr:to>
    <xdr:sp macro="" textlink="">
      <xdr:nvSpPr>
        <xdr:cNvPr id="7" name="Round Single Corner Rectangle 6"/>
        <xdr:cNvSpPr/>
      </xdr:nvSpPr>
      <xdr:spPr>
        <a:xfrm>
          <a:off x="4895849" y="238125"/>
          <a:ext cx="6334125" cy="323850"/>
        </a:xfrm>
        <a:prstGeom prst="round1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0" cap="none" spc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INDEX of DASHBOARDS</a:t>
          </a:r>
          <a:endParaRPr lang="en-US" sz="1400" b="0" cap="none" spc="0">
            <a:ln w="0"/>
            <a:solidFill>
              <a:srgbClr val="C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15876</xdr:colOff>
      <xdr:row>23</xdr:row>
      <xdr:rowOff>95250</xdr:rowOff>
    </xdr:from>
    <xdr:to>
      <xdr:col>5</xdr:col>
      <xdr:colOff>38143</xdr:colOff>
      <xdr:row>28</xdr:row>
      <xdr:rowOff>158750</xdr:rowOff>
    </xdr:to>
    <xdr:sp macro="" textlink="">
      <xdr:nvSpPr>
        <xdr:cNvPr id="9" name="Oval 8"/>
        <xdr:cNvSpPr/>
      </xdr:nvSpPr>
      <xdr:spPr>
        <a:xfrm>
          <a:off x="187326" y="3648075"/>
          <a:ext cx="2460667" cy="815975"/>
        </a:xfrm>
        <a:prstGeom prst="ellipse">
          <a:avLst/>
        </a:prstGeom>
        <a:solidFill>
          <a:srgbClr val="FFFF66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rgbClr val="0000FF"/>
              </a:solidFill>
            </a:rPr>
            <a:t>Please select any</a:t>
          </a:r>
          <a:r>
            <a:rPr lang="en-US" sz="1100" b="1" baseline="0">
              <a:solidFill>
                <a:srgbClr val="0000FF"/>
              </a:solidFill>
            </a:rPr>
            <a:t> option available in this sheet</a:t>
          </a:r>
          <a:endParaRPr lang="en-US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0</xdr:colOff>
      <xdr:row>19</xdr:row>
      <xdr:rowOff>28575</xdr:rowOff>
    </xdr:from>
    <xdr:to>
      <xdr:col>12</xdr:col>
      <xdr:colOff>590550</xdr:colOff>
      <xdr:row>21</xdr:row>
      <xdr:rowOff>161925</xdr:rowOff>
    </xdr:to>
    <xdr:sp macro="" textlink="">
      <xdr:nvSpPr>
        <xdr:cNvPr id="10" name="Round Same Side Corner Rectangle 9">
          <a:hlinkClick xmlns:r="http://schemas.openxmlformats.org/officeDocument/2006/relationships" r:id="rId4"/>
        </xdr:cNvPr>
        <xdr:cNvSpPr/>
      </xdr:nvSpPr>
      <xdr:spPr>
        <a:xfrm>
          <a:off x="3476625" y="2876550"/>
          <a:ext cx="3638550" cy="485775"/>
        </a:xfrm>
        <a:prstGeom prst="round2Same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n-US" sz="1000" b="1">
              <a:solidFill>
                <a:srgbClr val="0000FF"/>
              </a:solidFill>
              <a:latin typeface="Arial" pitchFamily="34" charset="0"/>
              <a:ea typeface="+mn-ea"/>
              <a:cs typeface="Arial" pitchFamily="34" charset="0"/>
            </a:rPr>
            <a:t>CASH DASHBOARD</a:t>
          </a:r>
        </a:p>
      </xdr:txBody>
    </xdr:sp>
    <xdr:clientData/>
  </xdr:twoCellAnchor>
  <xdr:twoCellAnchor>
    <xdr:from>
      <xdr:col>2</xdr:col>
      <xdr:colOff>19050</xdr:colOff>
      <xdr:row>15</xdr:row>
      <xdr:rowOff>76200</xdr:rowOff>
    </xdr:from>
    <xdr:to>
      <xdr:col>6</xdr:col>
      <xdr:colOff>41318</xdr:colOff>
      <xdr:row>18</xdr:row>
      <xdr:rowOff>0</xdr:rowOff>
    </xdr:to>
    <xdr:sp macro="" textlink="">
      <xdr:nvSpPr>
        <xdr:cNvPr id="11" name="Round Same Side Corner Rectangle 10">
          <a:hlinkClick xmlns:r="http://schemas.openxmlformats.org/officeDocument/2006/relationships" r:id="rId5"/>
        </xdr:cNvPr>
        <xdr:cNvSpPr/>
      </xdr:nvSpPr>
      <xdr:spPr>
        <a:xfrm>
          <a:off x="800100" y="2247900"/>
          <a:ext cx="2460668" cy="447675"/>
        </a:xfrm>
        <a:prstGeom prst="round2Same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n-US" sz="1000" b="1" baseline="0">
              <a:solidFill>
                <a:srgbClr val="0000FF"/>
              </a:solidFill>
              <a:latin typeface="Arial" pitchFamily="34" charset="0"/>
              <a:ea typeface="+mn-ea"/>
              <a:cs typeface="Arial" pitchFamily="34" charset="0"/>
            </a:rPr>
            <a:t>KEY DASHBOARDS-JULY 2017</a:t>
          </a:r>
          <a:endParaRPr lang="en-US" sz="1000" b="1">
            <a:solidFill>
              <a:srgbClr val="0000FF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19050</xdr:colOff>
      <xdr:row>15</xdr:row>
      <xdr:rowOff>57150</xdr:rowOff>
    </xdr:from>
    <xdr:to>
      <xdr:col>13</xdr:col>
      <xdr:colOff>0</xdr:colOff>
      <xdr:row>17</xdr:row>
      <xdr:rowOff>193932</xdr:rowOff>
    </xdr:to>
    <xdr:sp macro="" textlink="">
      <xdr:nvSpPr>
        <xdr:cNvPr id="12" name="Round Same Side Corner Rectangle 11">
          <a:hlinkClick xmlns:r="http://schemas.openxmlformats.org/officeDocument/2006/relationships" r:id="rId6"/>
        </xdr:cNvPr>
        <xdr:cNvSpPr/>
      </xdr:nvSpPr>
      <xdr:spPr>
        <a:xfrm>
          <a:off x="7591425" y="2457450"/>
          <a:ext cx="3638550" cy="498732"/>
        </a:xfrm>
        <a:prstGeom prst="round2Same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n-US" sz="1000" b="1">
              <a:solidFill>
                <a:srgbClr val="0000FF"/>
              </a:solidFill>
              <a:latin typeface="Arial" pitchFamily="34" charset="0"/>
              <a:ea typeface="+mn-ea"/>
              <a:cs typeface="Arial" pitchFamily="34" charset="0"/>
            </a:rPr>
            <a:t>FINANCIAL DASHBOARD</a:t>
          </a:r>
          <a:endParaRPr lang="en-US" sz="800" b="1">
            <a:solidFill>
              <a:srgbClr val="0000FF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209550</xdr:colOff>
      <xdr:row>23</xdr:row>
      <xdr:rowOff>9525</xdr:rowOff>
    </xdr:from>
    <xdr:to>
      <xdr:col>12</xdr:col>
      <xdr:colOff>590550</xdr:colOff>
      <xdr:row>25</xdr:row>
      <xdr:rowOff>152400</xdr:rowOff>
    </xdr:to>
    <xdr:sp macro="" textlink="">
      <xdr:nvSpPr>
        <xdr:cNvPr id="13" name="Round Same Side Corner Rectangle 12">
          <a:hlinkClick xmlns:r="http://schemas.openxmlformats.org/officeDocument/2006/relationships" r:id="rId7"/>
        </xdr:cNvPr>
        <xdr:cNvSpPr/>
      </xdr:nvSpPr>
      <xdr:spPr>
        <a:xfrm>
          <a:off x="3429000" y="3562350"/>
          <a:ext cx="3686175" cy="447675"/>
        </a:xfrm>
        <a:prstGeom prst="round2Same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n-US" sz="1000" b="1" baseline="0">
              <a:solidFill>
                <a:srgbClr val="0000FF"/>
              </a:solidFill>
              <a:latin typeface="Arial" pitchFamily="34" charset="0"/>
              <a:ea typeface="+mn-ea"/>
              <a:cs typeface="Arial" pitchFamily="34" charset="0"/>
            </a:rPr>
            <a:t>DEBT DASHBOARD</a:t>
          </a:r>
          <a:endParaRPr lang="en-US" sz="1000" b="1">
            <a:solidFill>
              <a:srgbClr val="0000FF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117</xdr:row>
      <xdr:rowOff>28574</xdr:rowOff>
    </xdr:from>
    <xdr:to>
      <xdr:col>16</xdr:col>
      <xdr:colOff>9525</xdr:colOff>
      <xdr:row>139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63</xdr:row>
      <xdr:rowOff>9524</xdr:rowOff>
    </xdr:from>
    <xdr:to>
      <xdr:col>16</xdr:col>
      <xdr:colOff>0</xdr:colOff>
      <xdr:row>82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438149</xdr:colOff>
      <xdr:row>91</xdr:row>
      <xdr:rowOff>19050</xdr:rowOff>
    </xdr:from>
    <xdr:to>
      <xdr:col>15</xdr:col>
      <xdr:colOff>838201</xdr:colOff>
      <xdr:row>108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76200</xdr:colOff>
      <xdr:row>31</xdr:row>
      <xdr:rowOff>142875</xdr:rowOff>
    </xdr:from>
    <xdr:to>
      <xdr:col>19</xdr:col>
      <xdr:colOff>819150</xdr:colOff>
      <xdr:row>33</xdr:row>
      <xdr:rowOff>95250</xdr:rowOff>
    </xdr:to>
    <xdr:sp macro="" textlink="">
      <xdr:nvSpPr>
        <xdr:cNvPr id="7" name="Round Same Side Corner Rectangle 6">
          <a:hlinkClick xmlns:r="http://schemas.openxmlformats.org/officeDocument/2006/relationships" r:id="rId4"/>
        </xdr:cNvPr>
        <xdr:cNvSpPr/>
      </xdr:nvSpPr>
      <xdr:spPr>
        <a:xfrm>
          <a:off x="11239500" y="142875"/>
          <a:ext cx="742950" cy="276225"/>
        </a:xfrm>
        <a:prstGeom prst="round2Same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n-US" sz="1000" b="1" baseline="0">
              <a:solidFill>
                <a:srgbClr val="0000FF"/>
              </a:solidFill>
              <a:latin typeface="Arial" pitchFamily="34" charset="0"/>
              <a:ea typeface="+mn-ea"/>
              <a:cs typeface="Arial" pitchFamily="34" charset="0"/>
            </a:rPr>
            <a:t>Index</a:t>
          </a:r>
          <a:endParaRPr lang="en-US" sz="1000" b="1">
            <a:solidFill>
              <a:srgbClr val="0000FF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19049</xdr:colOff>
      <xdr:row>2</xdr:row>
      <xdr:rowOff>19050</xdr:rowOff>
    </xdr:from>
    <xdr:to>
      <xdr:col>16</xdr:col>
      <xdr:colOff>19050</xdr:colOff>
      <xdr:row>25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57150</xdr:colOff>
      <xdr:row>117</xdr:row>
      <xdr:rowOff>28575</xdr:rowOff>
    </xdr:from>
    <xdr:to>
      <xdr:col>30</xdr:col>
      <xdr:colOff>504824</xdr:colOff>
      <xdr:row>140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28575</xdr:colOff>
      <xdr:row>31</xdr:row>
      <xdr:rowOff>314324</xdr:rowOff>
    </xdr:from>
    <xdr:to>
      <xdr:col>16</xdr:col>
      <xdr:colOff>9525</xdr:colOff>
      <xdr:row>54</xdr:row>
      <xdr:rowOff>152400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47154</xdr:colOff>
      <xdr:row>61</xdr:row>
      <xdr:rowOff>6181</xdr:rowOff>
    </xdr:from>
    <xdr:to>
      <xdr:col>10</xdr:col>
      <xdr:colOff>328083</xdr:colOff>
      <xdr:row>86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42333</xdr:colOff>
      <xdr:row>40</xdr:row>
      <xdr:rowOff>21167</xdr:rowOff>
    </xdr:from>
    <xdr:to>
      <xdr:col>4</xdr:col>
      <xdr:colOff>867834</xdr:colOff>
      <xdr:row>60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896441</xdr:colOff>
      <xdr:row>40</xdr:row>
      <xdr:rowOff>20013</xdr:rowOff>
    </xdr:from>
    <xdr:to>
      <xdr:col>9</xdr:col>
      <xdr:colOff>878416</xdr:colOff>
      <xdr:row>60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10585</xdr:colOff>
      <xdr:row>40</xdr:row>
      <xdr:rowOff>42334</xdr:rowOff>
    </xdr:from>
    <xdr:to>
      <xdr:col>14</xdr:col>
      <xdr:colOff>878417</xdr:colOff>
      <xdr:row>60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87</xdr:row>
      <xdr:rowOff>0</xdr:rowOff>
    </xdr:from>
    <xdr:to>
      <xdr:col>7</xdr:col>
      <xdr:colOff>0</xdr:colOff>
      <xdr:row>114</xdr:row>
      <xdr:rowOff>9432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43172</xdr:colOff>
      <xdr:row>87</xdr:row>
      <xdr:rowOff>21167</xdr:rowOff>
    </xdr:from>
    <xdr:to>
      <xdr:col>13</xdr:col>
      <xdr:colOff>599583</xdr:colOff>
      <xdr:row>114</xdr:row>
      <xdr:rowOff>30599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21166</xdr:colOff>
      <xdr:row>20</xdr:row>
      <xdr:rowOff>306915</xdr:rowOff>
    </xdr:from>
    <xdr:to>
      <xdr:col>6</xdr:col>
      <xdr:colOff>899583</xdr:colOff>
      <xdr:row>38</xdr:row>
      <xdr:rowOff>190499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395186</xdr:colOff>
      <xdr:row>153</xdr:row>
      <xdr:rowOff>74083</xdr:rowOff>
    </xdr:from>
    <xdr:to>
      <xdr:col>14</xdr:col>
      <xdr:colOff>900641</xdr:colOff>
      <xdr:row>168</xdr:row>
      <xdr:rowOff>21167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891702</xdr:colOff>
      <xdr:row>153</xdr:row>
      <xdr:rowOff>73182</xdr:rowOff>
    </xdr:from>
    <xdr:to>
      <xdr:col>10</xdr:col>
      <xdr:colOff>354655</xdr:colOff>
      <xdr:row>168</xdr:row>
      <xdr:rowOff>20266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showGridLines="0" topLeftCell="A16" workbookViewId="0"/>
  </sheetViews>
  <sheetFormatPr defaultColWidth="14.6640625" defaultRowHeight="15.75"/>
  <cols>
    <col min="1" max="1" width="28.33203125" style="50" bestFit="1" customWidth="1"/>
    <col min="2" max="11" width="17.33203125" style="44" customWidth="1"/>
    <col min="12" max="16384" width="14.6640625" style="44"/>
  </cols>
  <sheetData>
    <row r="2" spans="1:20" ht="16.5" thickBot="1"/>
    <row r="3" spans="1:20" ht="16.5" thickBot="1">
      <c r="A3" s="498" t="s">
        <v>132</v>
      </c>
      <c r="B3" s="499"/>
      <c r="C3" s="62" t="s">
        <v>44</v>
      </c>
      <c r="D3" s="63" t="s">
        <v>45</v>
      </c>
      <c r="E3" s="63" t="s">
        <v>46</v>
      </c>
      <c r="F3" s="63" t="s">
        <v>47</v>
      </c>
      <c r="G3" s="63" t="s">
        <v>48</v>
      </c>
      <c r="H3" s="63" t="s">
        <v>49</v>
      </c>
      <c r="I3" s="63" t="s">
        <v>50</v>
      </c>
      <c r="J3" s="64" t="s">
        <v>51</v>
      </c>
      <c r="M3" s="44">
        <v>69989.919999999969</v>
      </c>
      <c r="N3" s="44">
        <v>66864.030000000028</v>
      </c>
      <c r="O3" s="44">
        <v>60141.410000000018</v>
      </c>
      <c r="P3" s="44">
        <v>52694.240000000005</v>
      </c>
      <c r="Q3" s="44">
        <v>53919.560000000012</v>
      </c>
      <c r="R3" s="44">
        <v>54108.539999999994</v>
      </c>
      <c r="S3" s="44">
        <v>56412.270000000004</v>
      </c>
      <c r="T3" s="44">
        <v>46002.349999999991</v>
      </c>
    </row>
    <row r="4" spans="1:20">
      <c r="A4" s="500" t="s">
        <v>14</v>
      </c>
      <c r="B4" s="501"/>
      <c r="C4" s="61">
        <v>169607.53999999998</v>
      </c>
      <c r="D4" s="61">
        <v>170882.84</v>
      </c>
      <c r="E4" s="61">
        <v>166748.79</v>
      </c>
      <c r="F4" s="61">
        <v>152517.18</v>
      </c>
      <c r="G4" s="61">
        <v>171291.81</v>
      </c>
      <c r="H4" s="61">
        <v>174280.94</v>
      </c>
      <c r="I4" s="61">
        <v>172896.37</v>
      </c>
      <c r="J4" s="61">
        <v>158435.38</v>
      </c>
    </row>
    <row r="5" spans="1:20">
      <c r="A5" s="494" t="s">
        <v>28</v>
      </c>
      <c r="B5" s="495"/>
      <c r="C5" s="38">
        <v>19349.71</v>
      </c>
      <c r="D5" s="38">
        <v>18592.550000000003</v>
      </c>
      <c r="E5" s="38">
        <v>14658.87</v>
      </c>
      <c r="F5" s="38">
        <v>15233</v>
      </c>
      <c r="G5" s="38">
        <v>10564.91</v>
      </c>
      <c r="H5" s="38">
        <v>12626.16</v>
      </c>
      <c r="I5" s="38">
        <v>12090.5</v>
      </c>
      <c r="J5" s="38">
        <v>13338.16</v>
      </c>
    </row>
    <row r="6" spans="1:20" ht="16.5" thickBot="1">
      <c r="A6" s="494" t="s">
        <v>0</v>
      </c>
      <c r="B6" s="495"/>
      <c r="C6" s="38">
        <v>3151.84</v>
      </c>
      <c r="D6" s="38">
        <v>-8102.1799999999994</v>
      </c>
      <c r="E6" s="38">
        <v>-2927.4</v>
      </c>
      <c r="F6" s="38">
        <v>2115.6600000000003</v>
      </c>
      <c r="G6" s="38">
        <v>-3378.45</v>
      </c>
      <c r="H6" s="38">
        <v>-5361.66</v>
      </c>
      <c r="I6" s="38">
        <v>963.9699999999998</v>
      </c>
      <c r="J6" s="38">
        <v>1654.7399999999998</v>
      </c>
    </row>
    <row r="7" spans="1:20" ht="17.25" thickTop="1" thickBot="1">
      <c r="A7" s="502" t="s">
        <v>30</v>
      </c>
      <c r="B7" s="503"/>
      <c r="C7" s="39">
        <f>SUM(C4:C6)</f>
        <v>192109.08999999997</v>
      </c>
      <c r="D7" s="39">
        <f t="shared" ref="D7:J7" si="0">SUM(D4:D6)</f>
        <v>181373.21000000002</v>
      </c>
      <c r="E7" s="39">
        <f t="shared" si="0"/>
        <v>178480.26</v>
      </c>
      <c r="F7" s="39">
        <f t="shared" si="0"/>
        <v>169865.84</v>
      </c>
      <c r="G7" s="39">
        <f t="shared" si="0"/>
        <v>178478.27</v>
      </c>
      <c r="H7" s="39">
        <f t="shared" si="0"/>
        <v>181545.44</v>
      </c>
      <c r="I7" s="39">
        <f t="shared" si="0"/>
        <v>185950.84</v>
      </c>
      <c r="J7" s="39">
        <f t="shared" si="0"/>
        <v>173428.28</v>
      </c>
    </row>
    <row r="8" spans="1:20" ht="24" customHeight="1" thickTop="1" thickBot="1">
      <c r="A8" s="504" t="s">
        <v>54</v>
      </c>
      <c r="B8" s="499"/>
      <c r="C8" s="60"/>
      <c r="D8" s="60"/>
      <c r="E8" s="60"/>
      <c r="F8" s="60"/>
      <c r="G8" s="60"/>
      <c r="H8" s="60"/>
      <c r="I8" s="60"/>
      <c r="J8" s="60"/>
      <c r="K8" s="43"/>
      <c r="L8" s="43"/>
      <c r="M8" s="43"/>
      <c r="N8" s="43"/>
      <c r="O8" s="43"/>
      <c r="P8" s="43"/>
    </row>
    <row r="9" spans="1:20">
      <c r="A9" s="500" t="s">
        <v>18</v>
      </c>
      <c r="B9" s="501"/>
      <c r="C9" s="40">
        <v>7116.9</v>
      </c>
      <c r="D9" s="40">
        <v>4977.78</v>
      </c>
      <c r="E9" s="40">
        <v>4986.84</v>
      </c>
      <c r="F9" s="40">
        <v>6778.46</v>
      </c>
      <c r="G9" s="40">
        <v>4827.3899999999994</v>
      </c>
      <c r="H9" s="40">
        <v>4413.5700000000006</v>
      </c>
      <c r="I9" s="40">
        <v>5186.2700000000004</v>
      </c>
      <c r="J9" s="40">
        <v>9295.2499999999982</v>
      </c>
      <c r="K9" s="51"/>
      <c r="L9" s="43"/>
      <c r="M9" s="43"/>
      <c r="N9" s="43"/>
      <c r="O9" s="43"/>
      <c r="P9" s="43"/>
    </row>
    <row r="10" spans="1:20">
      <c r="A10" s="494" t="s">
        <v>1</v>
      </c>
      <c r="B10" s="495"/>
      <c r="C10" s="41">
        <v>3183.52</v>
      </c>
      <c r="D10" s="41">
        <v>4862.74</v>
      </c>
      <c r="E10" s="41">
        <v>2765.71</v>
      </c>
      <c r="F10" s="41">
        <v>2254.0700000000002</v>
      </c>
      <c r="G10" s="41">
        <v>8288.68</v>
      </c>
      <c r="H10" s="41">
        <v>3266.4800000000009</v>
      </c>
      <c r="I10" s="41">
        <v>5862.9499999999989</v>
      </c>
      <c r="J10" s="41">
        <v>3921.9100000000003</v>
      </c>
      <c r="K10" s="51"/>
      <c r="L10" s="43"/>
      <c r="M10" s="43"/>
      <c r="N10" s="43"/>
      <c r="O10" s="43"/>
      <c r="P10" s="43"/>
    </row>
    <row r="11" spans="1:20">
      <c r="A11" s="494" t="s">
        <v>2</v>
      </c>
      <c r="B11" s="495"/>
      <c r="C11" s="41">
        <v>1604.6100000000001</v>
      </c>
      <c r="D11" s="41">
        <v>1290.3499999999999</v>
      </c>
      <c r="E11" s="41">
        <v>1235.6199999999999</v>
      </c>
      <c r="F11" s="41">
        <v>1422.8100000000002</v>
      </c>
      <c r="G11" s="41">
        <v>3085.74</v>
      </c>
      <c r="H11" s="41">
        <v>1088.5900000000001</v>
      </c>
      <c r="I11" s="41">
        <v>6129.3600000000006</v>
      </c>
      <c r="J11" s="41">
        <v>3053.86</v>
      </c>
      <c r="K11" s="51"/>
      <c r="L11" s="43"/>
      <c r="M11" s="43"/>
      <c r="N11" s="43"/>
      <c r="O11" s="43"/>
      <c r="P11" s="43"/>
    </row>
    <row r="12" spans="1:20">
      <c r="A12" s="494" t="s">
        <v>3</v>
      </c>
      <c r="B12" s="495"/>
      <c r="C12" s="41">
        <v>5305.54</v>
      </c>
      <c r="D12" s="41">
        <v>4155.2699999999995</v>
      </c>
      <c r="E12" s="41">
        <v>3999.14</v>
      </c>
      <c r="F12" s="41">
        <v>4430</v>
      </c>
      <c r="G12" s="41">
        <v>4547.79</v>
      </c>
      <c r="H12" s="41">
        <v>4302.9799999999996</v>
      </c>
      <c r="I12" s="41">
        <v>5476.02</v>
      </c>
      <c r="J12" s="41">
        <v>3941.37</v>
      </c>
      <c r="K12" s="51"/>
      <c r="L12" s="43"/>
    </row>
    <row r="13" spans="1:20">
      <c r="A13" s="494" t="s">
        <v>4</v>
      </c>
      <c r="B13" s="495"/>
      <c r="C13" s="41">
        <v>19432.64</v>
      </c>
      <c r="D13" s="41">
        <v>19432.64</v>
      </c>
      <c r="E13" s="41">
        <v>19432.64</v>
      </c>
      <c r="F13" s="41">
        <v>19432.64</v>
      </c>
      <c r="G13" s="41">
        <v>19432.64</v>
      </c>
      <c r="H13" s="41">
        <v>19432.63</v>
      </c>
      <c r="I13" s="41">
        <v>19821.29</v>
      </c>
      <c r="J13" s="41">
        <v>19821.29</v>
      </c>
      <c r="K13" s="51"/>
      <c r="L13" s="43"/>
    </row>
    <row r="14" spans="1:20">
      <c r="A14" s="494" t="s">
        <v>6</v>
      </c>
      <c r="B14" s="495"/>
      <c r="C14" s="41">
        <v>1884.48</v>
      </c>
      <c r="D14" s="41">
        <v>1884.64</v>
      </c>
      <c r="E14" s="41">
        <v>1884.64</v>
      </c>
      <c r="F14" s="41">
        <v>1884.64</v>
      </c>
      <c r="G14" s="41">
        <v>1884.53</v>
      </c>
      <c r="H14" s="41">
        <v>1650.55</v>
      </c>
      <c r="I14" s="41">
        <v>1650.55</v>
      </c>
      <c r="J14" s="41">
        <v>1650.55</v>
      </c>
      <c r="K14" s="51"/>
      <c r="L14" s="43"/>
    </row>
    <row r="15" spans="1:20">
      <c r="A15" s="494" t="s">
        <v>7</v>
      </c>
      <c r="B15" s="495"/>
      <c r="C15" s="41">
        <v>12064.61</v>
      </c>
      <c r="D15" s="41">
        <v>10852.23</v>
      </c>
      <c r="E15" s="41">
        <v>10940</v>
      </c>
      <c r="F15" s="41">
        <v>9628.5</v>
      </c>
      <c r="G15" s="41">
        <v>9872.5300000000007</v>
      </c>
      <c r="H15" s="41">
        <v>10642.85</v>
      </c>
      <c r="I15" s="41">
        <v>10858.75</v>
      </c>
      <c r="J15" s="41">
        <v>9130.25</v>
      </c>
      <c r="K15" s="51"/>
      <c r="L15" s="43"/>
    </row>
    <row r="16" spans="1:20">
      <c r="A16" s="494" t="s">
        <v>5</v>
      </c>
      <c r="B16" s="495"/>
      <c r="C16" s="41">
        <v>1580.3</v>
      </c>
      <c r="D16" s="41">
        <v>1051.06</v>
      </c>
      <c r="E16" s="41">
        <v>1000.7900000000001</v>
      </c>
      <c r="F16" s="41">
        <v>2926.5</v>
      </c>
      <c r="G16" s="41">
        <v>2538.5600000000004</v>
      </c>
      <c r="H16" s="41">
        <v>1632.4399999999998</v>
      </c>
      <c r="I16" s="41">
        <v>4685.4599999999991</v>
      </c>
      <c r="J16" s="41">
        <v>384.04000000000019</v>
      </c>
      <c r="K16" s="51"/>
      <c r="L16" s="43"/>
    </row>
    <row r="17" spans="1:16" ht="16.5" thickBot="1">
      <c r="A17" s="496" t="s">
        <v>8</v>
      </c>
      <c r="B17" s="497"/>
      <c r="C17" s="42">
        <v>317.52</v>
      </c>
      <c r="D17" s="42">
        <v>852.43</v>
      </c>
      <c r="E17" s="42">
        <v>1927.24</v>
      </c>
      <c r="F17" s="42">
        <v>200.45</v>
      </c>
      <c r="G17" s="42">
        <v>471.59</v>
      </c>
      <c r="H17" s="42">
        <v>485.67</v>
      </c>
      <c r="I17" s="42">
        <v>258.66000000000003</v>
      </c>
      <c r="J17" s="42">
        <v>109.93</v>
      </c>
      <c r="K17" s="52"/>
      <c r="L17" s="43"/>
    </row>
    <row r="18" spans="1:16" ht="17.25" thickTop="1" thickBot="1">
      <c r="A18" s="488" t="s">
        <v>31</v>
      </c>
      <c r="B18" s="489"/>
      <c r="C18" s="39">
        <f>SUM(C9:C17)</f>
        <v>52490.12</v>
      </c>
      <c r="D18" s="39">
        <f t="shared" ref="D18:J18" si="1">SUM(D9:D17)</f>
        <v>49359.139999999992</v>
      </c>
      <c r="E18" s="39">
        <f t="shared" si="1"/>
        <v>48172.619999999995</v>
      </c>
      <c r="F18" s="39">
        <f t="shared" si="1"/>
        <v>48958.069999999992</v>
      </c>
      <c r="G18" s="39">
        <f t="shared" si="1"/>
        <v>54949.44999999999</v>
      </c>
      <c r="H18" s="39">
        <f t="shared" si="1"/>
        <v>46915.76</v>
      </c>
      <c r="I18" s="39">
        <f t="shared" si="1"/>
        <v>59929.310000000005</v>
      </c>
      <c r="J18" s="39">
        <f t="shared" si="1"/>
        <v>51308.450000000004</v>
      </c>
    </row>
    <row r="19" spans="1:16" ht="17.25" thickTop="1" thickBot="1">
      <c r="A19" s="488" t="s">
        <v>32</v>
      </c>
      <c r="B19" s="489"/>
      <c r="C19" s="39">
        <f t="shared" ref="C19:J19" si="2">+C7-C18</f>
        <v>139618.96999999997</v>
      </c>
      <c r="D19" s="39">
        <f t="shared" si="2"/>
        <v>132014.07000000004</v>
      </c>
      <c r="E19" s="39">
        <f t="shared" si="2"/>
        <v>130307.64000000001</v>
      </c>
      <c r="F19" s="39">
        <f t="shared" si="2"/>
        <v>120907.77</v>
      </c>
      <c r="G19" s="39">
        <f t="shared" si="2"/>
        <v>123528.82</v>
      </c>
      <c r="H19" s="39">
        <f t="shared" si="2"/>
        <v>134629.68</v>
      </c>
      <c r="I19" s="39">
        <f t="shared" si="2"/>
        <v>126021.53</v>
      </c>
      <c r="J19" s="39">
        <f t="shared" si="2"/>
        <v>122119.82999999999</v>
      </c>
    </row>
    <row r="20" spans="1:16" ht="17.25" thickTop="1" thickBot="1">
      <c r="A20" s="488" t="s">
        <v>33</v>
      </c>
      <c r="B20" s="489"/>
      <c r="C20" s="39">
        <v>69629.05</v>
      </c>
      <c r="D20" s="39">
        <v>65150.04</v>
      </c>
      <c r="E20" s="39">
        <v>70166.23</v>
      </c>
      <c r="F20" s="39">
        <v>68213.53</v>
      </c>
      <c r="G20" s="39">
        <v>69609.259999999995</v>
      </c>
      <c r="H20" s="39">
        <v>80521.14</v>
      </c>
      <c r="I20" s="39">
        <v>69609.259999999995</v>
      </c>
      <c r="J20" s="39">
        <v>76117.48</v>
      </c>
    </row>
    <row r="21" spans="1:16" ht="17.25" thickTop="1" thickBot="1">
      <c r="A21" s="488" t="s">
        <v>34</v>
      </c>
      <c r="B21" s="489"/>
      <c r="C21" s="39">
        <f>+C19-C20</f>
        <v>69989.919999999969</v>
      </c>
      <c r="D21" s="39">
        <f t="shared" ref="D21:J21" si="3">+D19-D20</f>
        <v>66864.030000000028</v>
      </c>
      <c r="E21" s="39">
        <f t="shared" si="3"/>
        <v>60141.410000000018</v>
      </c>
      <c r="F21" s="39">
        <f t="shared" si="3"/>
        <v>52694.240000000005</v>
      </c>
      <c r="G21" s="39">
        <f t="shared" si="3"/>
        <v>53919.560000000012</v>
      </c>
      <c r="H21" s="39">
        <f t="shared" si="3"/>
        <v>54108.539999999994</v>
      </c>
      <c r="I21" s="39">
        <f t="shared" si="3"/>
        <v>56412.270000000004</v>
      </c>
      <c r="J21" s="39">
        <f t="shared" si="3"/>
        <v>46002.349999999991</v>
      </c>
    </row>
    <row r="22" spans="1:16" ht="16.5" thickTop="1">
      <c r="A22" s="45"/>
      <c r="B22" s="43"/>
      <c r="C22" s="65"/>
      <c r="D22" s="65"/>
      <c r="E22" s="65"/>
      <c r="F22" s="65"/>
      <c r="G22" s="65"/>
      <c r="H22" s="65"/>
      <c r="I22" s="65"/>
      <c r="J22" s="65"/>
      <c r="K22" s="43"/>
      <c r="L22" s="43"/>
    </row>
    <row r="23" spans="1:16" ht="33" customHeight="1">
      <c r="A23" s="490" t="s">
        <v>55</v>
      </c>
      <c r="B23" s="491"/>
      <c r="C23" s="491"/>
      <c r="D23" s="491"/>
      <c r="E23" s="491"/>
      <c r="F23" s="491"/>
      <c r="G23" s="491"/>
      <c r="H23" s="491"/>
      <c r="I23" s="491"/>
      <c r="J23" s="491"/>
      <c r="K23" s="492" t="s">
        <v>52</v>
      </c>
    </row>
    <row r="24" spans="1:16" ht="25.5">
      <c r="A24" s="46"/>
      <c r="B24" s="53" t="s">
        <v>18</v>
      </c>
      <c r="C24" s="53" t="s">
        <v>1</v>
      </c>
      <c r="D24" s="53" t="s">
        <v>2</v>
      </c>
      <c r="E24" s="53" t="s">
        <v>3</v>
      </c>
      <c r="F24" s="53" t="s">
        <v>4</v>
      </c>
      <c r="G24" s="53" t="s">
        <v>6</v>
      </c>
      <c r="H24" s="53" t="s">
        <v>7</v>
      </c>
      <c r="I24" s="53" t="s">
        <v>5</v>
      </c>
      <c r="J24" s="53" t="s">
        <v>8</v>
      </c>
      <c r="K24" s="493"/>
    </row>
    <row r="25" spans="1:16">
      <c r="A25" s="54" t="s">
        <v>56</v>
      </c>
      <c r="B25" s="48">
        <f>SUM(C9:J9)</f>
        <v>47582.460000000006</v>
      </c>
      <c r="C25" s="48">
        <f>SUM(C10:J10)</f>
        <v>34406.060000000005</v>
      </c>
      <c r="D25" s="48">
        <f>SUM(C12:J12)</f>
        <v>36158.11</v>
      </c>
      <c r="E25" s="48">
        <f>SUM(C13:J13)</f>
        <v>156238.41</v>
      </c>
      <c r="F25" s="48">
        <f>SUM(C14:J14)</f>
        <v>14374.579999999998</v>
      </c>
      <c r="G25" s="48">
        <f>SUM(C15:J15)</f>
        <v>83989.72</v>
      </c>
      <c r="H25" s="48">
        <f>SUM(C16:J16)</f>
        <v>15799.15</v>
      </c>
      <c r="I25" s="48">
        <f>SUM(C17:J17)</f>
        <v>4623.49</v>
      </c>
      <c r="J25" s="48">
        <f>SUM(C17:J17)</f>
        <v>4623.49</v>
      </c>
      <c r="K25" s="48">
        <f>SUM(B25:J25)</f>
        <v>397795.47000000009</v>
      </c>
      <c r="L25" s="43"/>
    </row>
    <row r="26" spans="1:16">
      <c r="A26" s="47" t="s">
        <v>53</v>
      </c>
      <c r="B26" s="49">
        <f>B25/K25</f>
        <v>0.11961538928535309</v>
      </c>
      <c r="C26" s="49">
        <f>C25/K25</f>
        <v>8.6491834610384066E-2</v>
      </c>
      <c r="D26" s="49">
        <f>D25/K25</f>
        <v>9.0896233685114597E-2</v>
      </c>
      <c r="E26" s="49">
        <f>E25/K25</f>
        <v>0.39276065662587856</v>
      </c>
      <c r="F26" s="49">
        <f>F25/K25</f>
        <v>3.6135605063577006E-2</v>
      </c>
      <c r="G26" s="49">
        <f>G25/K25</f>
        <v>0.21113794986152051</v>
      </c>
      <c r="H26" s="49">
        <f>H25/K25</f>
        <v>3.9716767010946598E-2</v>
      </c>
      <c r="I26" s="49">
        <f>I25/K25</f>
        <v>1.1622781928612708E-2</v>
      </c>
      <c r="J26" s="49">
        <f>J25/K25</f>
        <v>1.1622781928612708E-2</v>
      </c>
      <c r="K26" s="49">
        <f>SUM(B26:J26)</f>
        <v>0.99999999999999978</v>
      </c>
      <c r="L26" s="43"/>
    </row>
    <row r="27" spans="1:16">
      <c r="A27" s="45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>
      <c r="A28" s="4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>
      <c r="D31" s="43"/>
      <c r="L31" s="43"/>
      <c r="M31" s="43"/>
      <c r="N31" s="43"/>
      <c r="O31" s="43"/>
      <c r="P31" s="43"/>
    </row>
    <row r="32" spans="1:16"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>
      <c r="A33" s="4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>
      <c r="A34" s="4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>
      <c r="A35" s="4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>
      <c r="A36" s="4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>
      <c r="A37" s="4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>
      <c r="A38" s="4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>
      <c r="A39" s="4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>
      <c r="A40" s="4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</sheetData>
  <mergeCells count="21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3:J23"/>
    <mergeCell ref="K23:K24"/>
    <mergeCell ref="A15:B15"/>
    <mergeCell ref="A16:B16"/>
    <mergeCell ref="A17:B17"/>
    <mergeCell ref="A18:B18"/>
    <mergeCell ref="A19:B19"/>
    <mergeCell ref="A20:B20"/>
  </mergeCells>
  <conditionalFormatting sqref="C9:C17 C4:J6">
    <cfRule type="cellIs" dxfId="506" priority="28" operator="lessThan">
      <formula>0</formula>
    </cfRule>
  </conditionalFormatting>
  <conditionalFormatting sqref="D9:D17">
    <cfRule type="cellIs" dxfId="505" priority="27" operator="lessThan">
      <formula>0</formula>
    </cfRule>
  </conditionalFormatting>
  <conditionalFormatting sqref="E9:E17">
    <cfRule type="cellIs" dxfId="504" priority="26" operator="lessThan">
      <formula>0</formula>
    </cfRule>
  </conditionalFormatting>
  <conditionalFormatting sqref="H9:H17">
    <cfRule type="cellIs" dxfId="503" priority="23" operator="lessThan">
      <formula>0</formula>
    </cfRule>
  </conditionalFormatting>
  <conditionalFormatting sqref="F9:F17">
    <cfRule type="cellIs" dxfId="502" priority="25" operator="lessThan">
      <formula>0</formula>
    </cfRule>
  </conditionalFormatting>
  <conditionalFormatting sqref="G9:G17">
    <cfRule type="cellIs" dxfId="501" priority="24" operator="lessThan">
      <formula>0</formula>
    </cfRule>
  </conditionalFormatting>
  <conditionalFormatting sqref="I9:I17">
    <cfRule type="cellIs" dxfId="500" priority="22" operator="lessThan">
      <formula>0</formula>
    </cfRule>
  </conditionalFormatting>
  <conditionalFormatting sqref="J9:K17">
    <cfRule type="cellIs" dxfId="499" priority="21" operator="lessThan">
      <formula>0</formula>
    </cfRule>
  </conditionalFormatting>
  <conditionalFormatting sqref="C7">
    <cfRule type="cellIs" dxfId="498" priority="20" operator="lessThan">
      <formula>0</formula>
    </cfRule>
  </conditionalFormatting>
  <conditionalFormatting sqref="C7">
    <cfRule type="cellIs" dxfId="497" priority="19" operator="lessThan">
      <formula>0</formula>
    </cfRule>
  </conditionalFormatting>
  <conditionalFormatting sqref="D7:J7">
    <cfRule type="cellIs" dxfId="496" priority="18" operator="lessThan">
      <formula>0</formula>
    </cfRule>
  </conditionalFormatting>
  <conditionalFormatting sqref="D7:J7">
    <cfRule type="cellIs" dxfId="495" priority="17" operator="lessThan">
      <formula>0</formula>
    </cfRule>
  </conditionalFormatting>
  <conditionalFormatting sqref="C18">
    <cfRule type="cellIs" dxfId="494" priority="16" operator="lessThan">
      <formula>0</formula>
    </cfRule>
  </conditionalFormatting>
  <conditionalFormatting sqref="C18">
    <cfRule type="cellIs" dxfId="493" priority="15" operator="lessThan">
      <formula>0</formula>
    </cfRule>
  </conditionalFormatting>
  <conditionalFormatting sqref="D18:J18">
    <cfRule type="cellIs" dxfId="492" priority="14" operator="lessThan">
      <formula>0</formula>
    </cfRule>
  </conditionalFormatting>
  <conditionalFormatting sqref="D18:J18">
    <cfRule type="cellIs" dxfId="491" priority="13" operator="lessThan">
      <formula>0</formula>
    </cfRule>
  </conditionalFormatting>
  <conditionalFormatting sqref="C19">
    <cfRule type="cellIs" dxfId="490" priority="12" operator="lessThan">
      <formula>0</formula>
    </cfRule>
  </conditionalFormatting>
  <conditionalFormatting sqref="C19">
    <cfRule type="cellIs" dxfId="489" priority="11" operator="lessThan">
      <formula>0</formula>
    </cfRule>
  </conditionalFormatting>
  <conditionalFormatting sqref="D20:J20">
    <cfRule type="cellIs" dxfId="488" priority="6" operator="lessThan">
      <formula>0</formula>
    </cfRule>
  </conditionalFormatting>
  <conditionalFormatting sqref="D20:J20">
    <cfRule type="cellIs" dxfId="487" priority="5" operator="lessThan">
      <formula>0</formula>
    </cfRule>
  </conditionalFormatting>
  <conditionalFormatting sqref="D19:J19">
    <cfRule type="cellIs" dxfId="486" priority="10" operator="lessThan">
      <formula>0</formula>
    </cfRule>
  </conditionalFormatting>
  <conditionalFormatting sqref="D19:J19">
    <cfRule type="cellIs" dxfId="485" priority="9" operator="lessThan">
      <formula>0</formula>
    </cfRule>
  </conditionalFormatting>
  <conditionalFormatting sqref="C20">
    <cfRule type="cellIs" dxfId="484" priority="8" operator="lessThan">
      <formula>0</formula>
    </cfRule>
  </conditionalFormatting>
  <conditionalFormatting sqref="C20">
    <cfRule type="cellIs" dxfId="483" priority="7" operator="lessThan">
      <formula>0</formula>
    </cfRule>
  </conditionalFormatting>
  <conditionalFormatting sqref="D21:J21">
    <cfRule type="cellIs" dxfId="482" priority="2" operator="lessThan">
      <formula>0</formula>
    </cfRule>
  </conditionalFormatting>
  <conditionalFormatting sqref="D21:J21">
    <cfRule type="cellIs" dxfId="481" priority="1" operator="lessThan">
      <formula>0</formula>
    </cfRule>
  </conditionalFormatting>
  <conditionalFormatting sqref="C21">
    <cfRule type="cellIs" dxfId="480" priority="4" operator="lessThan">
      <formula>0</formula>
    </cfRule>
  </conditionalFormatting>
  <conditionalFormatting sqref="C21">
    <cfRule type="cellIs" dxfId="479" priority="3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zoomScaleSheetLayoutView="90" workbookViewId="0">
      <selection activeCell="D7" sqref="D7"/>
    </sheetView>
  </sheetViews>
  <sheetFormatPr defaultColWidth="0" defaultRowHeight="12.75" zeroHeight="1"/>
  <cols>
    <col min="1" max="1" width="1.33203125" style="102" customWidth="1"/>
    <col min="2" max="6" width="10.6640625" style="102" customWidth="1"/>
    <col min="7" max="7" width="4.33203125" style="102" customWidth="1"/>
    <col min="8" max="13" width="10.6640625" style="102" customWidth="1"/>
    <col min="14" max="14" width="4.33203125" style="102" customWidth="1"/>
    <col min="15" max="15" width="1.1640625" style="102" customWidth="1"/>
    <col min="16" max="16384" width="10.6640625" style="102" hidden="1"/>
  </cols>
  <sheetData>
    <row r="1" spans="2:14" ht="3.75" customHeight="1" thickBot="1"/>
    <row r="2" spans="2:14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2:14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2:14"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2:14" ht="6.75" customHeight="1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2:14">
      <c r="B6" s="109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2:14" ht="11.25" customHeight="1">
      <c r="B7" s="109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2:14">
      <c r="B8" s="109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</row>
    <row r="9" spans="2:14">
      <c r="B9" s="109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</row>
    <row r="10" spans="2:14">
      <c r="B10" s="109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</row>
    <row r="11" spans="2:14" ht="11.25" customHeight="1">
      <c r="B11" s="109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</row>
    <row r="12" spans="2:14">
      <c r="B12" s="109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</row>
    <row r="13" spans="2:14" ht="12" customHeight="1">
      <c r="B13" s="114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2:14">
      <c r="B14" s="109"/>
      <c r="C14" s="107"/>
      <c r="D14" s="107"/>
      <c r="E14" s="107"/>
      <c r="F14" s="107"/>
      <c r="G14" s="107"/>
      <c r="H14" s="107"/>
      <c r="I14" s="115"/>
      <c r="J14" s="107"/>
      <c r="K14" s="107"/>
      <c r="L14" s="107"/>
      <c r="M14" s="107"/>
      <c r="N14" s="108"/>
    </row>
    <row r="15" spans="2:14" ht="11.25" customHeight="1"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</row>
    <row r="16" spans="2:14" ht="17.25" customHeight="1">
      <c r="B16" s="109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</row>
    <row r="17" spans="2:14" ht="11.25" customHeight="1">
      <c r="B17" s="109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</row>
    <row r="18" spans="2:14">
      <c r="B18" s="109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</row>
    <row r="19" spans="2:14" ht="12" customHeight="1">
      <c r="B19" s="109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2:14" ht="14.25" customHeight="1">
      <c r="B20" s="109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</row>
    <row r="21" spans="2:14" ht="13.5" customHeight="1">
      <c r="B21" s="109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</row>
    <row r="22" spans="2:14" ht="15" customHeight="1">
      <c r="B22" s="109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</row>
    <row r="23" spans="2:14" ht="12.75" customHeight="1">
      <c r="B23" s="109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8"/>
    </row>
    <row r="24" spans="2:14">
      <c r="B24" s="109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/>
    </row>
    <row r="25" spans="2:14" ht="11.25" customHeight="1">
      <c r="B25" s="109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</row>
    <row r="26" spans="2:14">
      <c r="B26" s="109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8"/>
    </row>
    <row r="27" spans="2:14" ht="9.75" customHeight="1">
      <c r="B27" s="109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</row>
    <row r="28" spans="2:14">
      <c r="B28" s="109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</row>
    <row r="29" spans="2:14" ht="13.5" thickBot="1"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</row>
    <row r="30" spans="2:14" ht="5.25" customHeight="1">
      <c r="B30" s="113"/>
    </row>
    <row r="31" spans="2:14" hidden="1">
      <c r="B31" s="113"/>
    </row>
    <row r="32" spans="2:14" hidden="1">
      <c r="B32" s="113"/>
    </row>
  </sheetData>
  <sheetProtection algorithmName="SHA-512" hashValue="vY1XgJgm7Jv00Bno9V1rC9h1JR426EzdvHSyGgTU93iStLCL43Br+GCNmAFnolKE0JBwnRGpKBXTAhkfywnmKw==" saltValue="k7AbSp5O1n+ll0yPO0KxHw==" spinCount="100000" sheet="1" objects="1" scenarios="1"/>
  <pageMargins left="0.7" right="0.7" top="0.75" bottom="0.75" header="0.3" footer="0.3"/>
  <pageSetup scale="5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6"/>
  <sheetViews>
    <sheetView showGridLines="0" topLeftCell="A82" workbookViewId="0">
      <selection activeCell="H89" sqref="H89"/>
    </sheetView>
  </sheetViews>
  <sheetFormatPr defaultColWidth="14.6640625" defaultRowHeight="12.75"/>
  <cols>
    <col min="1" max="1" width="0.6640625" style="67" customWidth="1"/>
    <col min="2" max="2" width="7.6640625" style="295" bestFit="1" customWidth="1"/>
    <col min="3" max="3" width="8.33203125" style="291" bestFit="1" customWidth="1"/>
    <col min="4" max="4" width="22.6640625" style="67" customWidth="1"/>
    <col min="5" max="36" width="14.83203125" style="67" customWidth="1"/>
    <col min="37" max="37" width="17.33203125" style="67" customWidth="1"/>
    <col min="38" max="16384" width="14.6640625" style="67"/>
  </cols>
  <sheetData>
    <row r="1" spans="2:2" ht="3.75" customHeight="1" thickBot="1"/>
    <row r="2" spans="2:2" ht="24.95" customHeight="1" thickTop="1" thickBot="1">
      <c r="B2" s="475" t="s">
        <v>271</v>
      </c>
    </row>
    <row r="3" spans="2:2" ht="13.5" thickTop="1"/>
    <row r="26" spans="2:11" ht="13.5" thickBot="1"/>
    <row r="27" spans="2:11" ht="27" thickTop="1" thickBot="1">
      <c r="B27" s="477" t="s">
        <v>272</v>
      </c>
      <c r="C27" s="505" t="s">
        <v>226</v>
      </c>
      <c r="D27" s="506"/>
      <c r="E27" s="362" t="s">
        <v>259</v>
      </c>
      <c r="F27" s="362" t="s">
        <v>260</v>
      </c>
      <c r="G27" s="362" t="s">
        <v>261</v>
      </c>
      <c r="H27" s="362" t="s">
        <v>262</v>
      </c>
      <c r="I27" s="362" t="s">
        <v>263</v>
      </c>
      <c r="J27" s="362" t="s">
        <v>264</v>
      </c>
      <c r="K27" s="363" t="s">
        <v>265</v>
      </c>
    </row>
    <row r="28" spans="2:11" ht="13.5" thickTop="1">
      <c r="C28" s="507" t="s">
        <v>203</v>
      </c>
      <c r="D28" s="508"/>
      <c r="E28" s="459">
        <f>+'Raw Data'!C142</f>
        <v>11687.5</v>
      </c>
      <c r="F28" s="459">
        <f>+'Raw Data'!D142</f>
        <v>23375</v>
      </c>
      <c r="G28" s="459">
        <f>+'Raw Data'!E142</f>
        <v>35062.5</v>
      </c>
      <c r="H28" s="459">
        <f>+'Raw Data'!F142</f>
        <v>46750</v>
      </c>
      <c r="I28" s="459">
        <f>+'Raw Data'!G142</f>
        <v>58437.5</v>
      </c>
      <c r="J28" s="459">
        <f>+'Raw Data'!H142</f>
        <v>70212.5</v>
      </c>
      <c r="K28" s="460">
        <f>+'Raw Data'!I142</f>
        <v>82087.5</v>
      </c>
    </row>
    <row r="29" spans="2:11">
      <c r="C29" s="509" t="s">
        <v>144</v>
      </c>
      <c r="D29" s="510"/>
      <c r="E29" s="461">
        <f>+'Raw Data'!C143</f>
        <v>169607.54</v>
      </c>
      <c r="F29" s="461">
        <f>+'Raw Data'!D143</f>
        <v>340490.38</v>
      </c>
      <c r="G29" s="461">
        <f>+'Raw Data'!E143</f>
        <v>507239.17</v>
      </c>
      <c r="H29" s="461">
        <f>+'Raw Data'!F143</f>
        <v>659756.35</v>
      </c>
      <c r="I29" s="461">
        <f>+'Raw Data'!G143</f>
        <v>831048.16</v>
      </c>
      <c r="J29" s="461">
        <f>+'Raw Data'!H143</f>
        <v>1005329.1</v>
      </c>
      <c r="K29" s="462">
        <f>+'Raw Data'!I143</f>
        <v>1178225.47</v>
      </c>
    </row>
    <row r="30" spans="2:11">
      <c r="C30" s="509" t="s">
        <v>145</v>
      </c>
      <c r="D30" s="510"/>
      <c r="E30" s="461">
        <f>+'Raw Data'!C144</f>
        <v>25901.55</v>
      </c>
      <c r="F30" s="461">
        <f>+'Raw Data'!D144</f>
        <v>39791.919999999998</v>
      </c>
      <c r="G30" s="461">
        <f>+'Raw Data'!E144</f>
        <v>54923.39</v>
      </c>
      <c r="H30" s="461">
        <f>+'Raw Data'!F144</f>
        <v>75672.05</v>
      </c>
      <c r="I30" s="461">
        <f>+'Raw Data'!G144</f>
        <v>86294.799999999988</v>
      </c>
      <c r="J30" s="461">
        <f>+'Raw Data'!H144</f>
        <v>97049.06</v>
      </c>
      <c r="K30" s="462">
        <f>+'Raw Data'!I144</f>
        <v>113578.53</v>
      </c>
    </row>
    <row r="31" spans="2:11" ht="13.5" thickBot="1">
      <c r="C31" s="511" t="s">
        <v>135</v>
      </c>
      <c r="D31" s="512"/>
      <c r="E31" s="463">
        <f>+'Raw Data'!C145</f>
        <v>207196.59</v>
      </c>
      <c r="F31" s="463">
        <f>+'Raw Data'!D145</f>
        <v>403657.3</v>
      </c>
      <c r="G31" s="463">
        <f>+'Raw Data'!E145</f>
        <v>597225.05999999994</v>
      </c>
      <c r="H31" s="463">
        <f>+'Raw Data'!F145</f>
        <v>782178.4</v>
      </c>
      <c r="I31" s="463">
        <f>+'Raw Data'!G145</f>
        <v>975780.46</v>
      </c>
      <c r="J31" s="463">
        <f>+'Raw Data'!H145</f>
        <v>1172590.6600000001</v>
      </c>
      <c r="K31" s="464">
        <f>+'Raw Data'!I145</f>
        <v>1373891.5</v>
      </c>
    </row>
    <row r="32" spans="2:11" ht="24.95" customHeight="1" thickTop="1" thickBot="1">
      <c r="B32" s="475" t="s">
        <v>273</v>
      </c>
      <c r="C32" s="390"/>
      <c r="D32" s="391"/>
      <c r="E32" s="391"/>
    </row>
    <row r="33" spans="2:2" ht="24.95" customHeight="1" thickTop="1">
      <c r="B33" s="296"/>
    </row>
    <row r="55" spans="2:11" ht="13.5" thickBot="1"/>
    <row r="56" spans="2:11" ht="24.95" customHeight="1" thickTop="1" thickBot="1">
      <c r="B56" s="477" t="s">
        <v>274</v>
      </c>
      <c r="C56" s="505" t="s">
        <v>226</v>
      </c>
      <c r="D56" s="506"/>
      <c r="E56" s="362" t="s">
        <v>259</v>
      </c>
      <c r="F56" s="362" t="s">
        <v>260</v>
      </c>
      <c r="G56" s="362" t="s">
        <v>261</v>
      </c>
      <c r="H56" s="362" t="s">
        <v>262</v>
      </c>
      <c r="I56" s="362" t="s">
        <v>263</v>
      </c>
      <c r="J56" s="362" t="s">
        <v>264</v>
      </c>
      <c r="K56" s="363" t="s">
        <v>265</v>
      </c>
    </row>
    <row r="57" spans="2:11" ht="13.5" thickTop="1">
      <c r="C57" s="507" t="s">
        <v>255</v>
      </c>
      <c r="D57" s="508"/>
      <c r="E57" s="459">
        <f>+'Raw Data'!C138</f>
        <v>56801.329999999994</v>
      </c>
      <c r="F57" s="459">
        <f>+'Raw Data'!D138</f>
        <v>35229.48000000001</v>
      </c>
      <c r="G57" s="459">
        <f>+'Raw Data'!E138</f>
        <v>28517.959999999992</v>
      </c>
      <c r="H57" s="459">
        <f>+'Raw Data'!F138</f>
        <v>75664.249999999971</v>
      </c>
      <c r="I57" s="459">
        <f>+'Raw Data'!G138</f>
        <v>77698.710000000021</v>
      </c>
      <c r="J57" s="459">
        <f>+'Raw Data'!H138</f>
        <v>64749.729999999981</v>
      </c>
      <c r="K57" s="460">
        <f>+'Raw Data'!I138</f>
        <v>89387.719999999972</v>
      </c>
    </row>
    <row r="58" spans="2:11">
      <c r="C58" s="509" t="s">
        <v>134</v>
      </c>
      <c r="D58" s="510"/>
      <c r="E58" s="461">
        <f>+'Raw Data'!C139</f>
        <v>84700.23</v>
      </c>
      <c r="F58" s="461">
        <f>+'Raw Data'!D139</f>
        <v>165861.42000000001</v>
      </c>
      <c r="G58" s="461">
        <f>+'Raw Data'!E139</f>
        <v>240862.27</v>
      </c>
      <c r="H58" s="461">
        <f>+'Raw Data'!F139</f>
        <v>308275.2300000001</v>
      </c>
      <c r="I58" s="461">
        <f>+'Raw Data'!G139</f>
        <v>376932.63</v>
      </c>
      <c r="J58" s="461">
        <f>+'Raw Data'!H139</f>
        <v>445892.13000000012</v>
      </c>
      <c r="K58" s="462">
        <f>+'Raw Data'!I139</f>
        <v>517270.71999999991</v>
      </c>
    </row>
    <row r="59" spans="2:11">
      <c r="C59" s="509" t="s">
        <v>266</v>
      </c>
      <c r="D59" s="510"/>
      <c r="E59" s="461">
        <f>+'Raw Data'!C140</f>
        <v>68067.73</v>
      </c>
      <c r="F59" s="461">
        <f>+'Raw Data'!D140</f>
        <v>129548.26</v>
      </c>
      <c r="G59" s="461">
        <f>+'Raw Data'!E140</f>
        <v>197615.99</v>
      </c>
      <c r="H59" s="461">
        <f>+'Raw Data'!F140</f>
        <v>263487.99</v>
      </c>
      <c r="I59" s="461">
        <f>+'Raw Data'!G140</f>
        <v>331555.71999999997</v>
      </c>
      <c r="J59" s="461">
        <f>+'Raw Data'!H140</f>
        <v>397427.72</v>
      </c>
      <c r="K59" s="462">
        <f>+'Raw Data'!I140</f>
        <v>465495.45</v>
      </c>
    </row>
    <row r="60" spans="2:11">
      <c r="C60" s="509" t="s">
        <v>148</v>
      </c>
      <c r="D60" s="510"/>
      <c r="E60" s="461">
        <f>+'Raw Data'!C141</f>
        <v>154329.28</v>
      </c>
      <c r="F60" s="461">
        <f>+'Raw Data'!D141</f>
        <v>300640.51</v>
      </c>
      <c r="G60" s="461">
        <f>+'Raw Data'!E141</f>
        <v>445807.58999999997</v>
      </c>
      <c r="H60" s="461">
        <f>+'Raw Data'!F141</f>
        <v>581434.08000000007</v>
      </c>
      <c r="I60" s="461">
        <f>+'Raw Data'!G141</f>
        <v>719700.74</v>
      </c>
      <c r="J60" s="461">
        <f>+'Raw Data'!H141</f>
        <v>869181.38000000012</v>
      </c>
      <c r="K60" s="462">
        <f>+'Raw Data'!I141</f>
        <v>1010169.23</v>
      </c>
    </row>
    <row r="61" spans="2:11">
      <c r="C61" s="509" t="s">
        <v>203</v>
      </c>
      <c r="D61" s="510"/>
      <c r="E61" s="461">
        <f>+'Raw Data'!C142</f>
        <v>11687.5</v>
      </c>
      <c r="F61" s="461">
        <f>+'Raw Data'!D142</f>
        <v>23375</v>
      </c>
      <c r="G61" s="461">
        <f>+'Raw Data'!E142</f>
        <v>35062.5</v>
      </c>
      <c r="H61" s="461">
        <f>+'Raw Data'!F142</f>
        <v>46750</v>
      </c>
      <c r="I61" s="461">
        <f>+'Raw Data'!G142</f>
        <v>58437.5</v>
      </c>
      <c r="J61" s="461">
        <f>+'Raw Data'!H142</f>
        <v>70212.5</v>
      </c>
      <c r="K61" s="462">
        <f>+'Raw Data'!I142</f>
        <v>82087.5</v>
      </c>
    </row>
    <row r="62" spans="2:11" ht="13.5" thickBot="1">
      <c r="C62" s="511" t="s">
        <v>144</v>
      </c>
      <c r="D62" s="512"/>
      <c r="E62" s="463">
        <f>+'Raw Data'!C143</f>
        <v>169607.54</v>
      </c>
      <c r="F62" s="463">
        <f>+'Raw Data'!D143</f>
        <v>340490.38</v>
      </c>
      <c r="G62" s="463">
        <f>+'Raw Data'!E143</f>
        <v>507239.17</v>
      </c>
      <c r="H62" s="463">
        <f>+'Raw Data'!F143</f>
        <v>659756.35</v>
      </c>
      <c r="I62" s="463">
        <f>+'Raw Data'!G143</f>
        <v>831048.16</v>
      </c>
      <c r="J62" s="463">
        <f>+'Raw Data'!H143</f>
        <v>1005329.1</v>
      </c>
      <c r="K62" s="464">
        <f>+'Raw Data'!I143</f>
        <v>1178225.47</v>
      </c>
    </row>
    <row r="63" spans="2:11" ht="24.95" customHeight="1" thickTop="1" thickBot="1">
      <c r="B63" s="475" t="s">
        <v>275</v>
      </c>
    </row>
    <row r="64" spans="2:11" ht="13.5" thickTop="1"/>
    <row r="83" spans="2:11" ht="13.5" thickBot="1"/>
    <row r="84" spans="2:11" ht="24.95" customHeight="1" thickTop="1" thickBot="1">
      <c r="B84" s="477" t="s">
        <v>276</v>
      </c>
      <c r="C84" s="505" t="s">
        <v>226</v>
      </c>
      <c r="D84" s="506"/>
      <c r="E84" s="362" t="s">
        <v>259</v>
      </c>
      <c r="F84" s="362" t="s">
        <v>260</v>
      </c>
      <c r="G84" s="362" t="s">
        <v>261</v>
      </c>
      <c r="H84" s="362" t="s">
        <v>262</v>
      </c>
      <c r="I84" s="362" t="s">
        <v>263</v>
      </c>
      <c r="J84" s="362" t="s">
        <v>264</v>
      </c>
      <c r="K84" s="363" t="s">
        <v>265</v>
      </c>
    </row>
    <row r="85" spans="2:11" ht="13.5" thickTop="1">
      <c r="C85" s="507" t="s">
        <v>255</v>
      </c>
      <c r="D85" s="508"/>
      <c r="E85" s="465">
        <f>+'Raw Data'!C161</f>
        <v>1.4368079832039053</v>
      </c>
      <c r="F85" s="465">
        <f>+'Raw Data'!D161</f>
        <v>0.89114107201578452</v>
      </c>
      <c r="G85" s="465">
        <f>+'Raw Data'!E161</f>
        <v>0.7213710065008978</v>
      </c>
      <c r="H85" s="465">
        <f>+'Raw Data'!F161</f>
        <v>1.9139516353426245</v>
      </c>
      <c r="I85" s="465">
        <f>+'Raw Data'!G161</f>
        <v>1.9654139579591738</v>
      </c>
      <c r="J85" s="465">
        <f>+'Raw Data'!H161</f>
        <v>1.6378653277009076</v>
      </c>
      <c r="K85" s="466">
        <f>+'Raw Data'!I161</f>
        <v>2.261091240229681</v>
      </c>
    </row>
    <row r="86" spans="2:11">
      <c r="C86" s="509" t="s">
        <v>134</v>
      </c>
      <c r="D86" s="510"/>
      <c r="E86" s="467">
        <f>+'Raw Data'!C162</f>
        <v>2.1425196671135507</v>
      </c>
      <c r="F86" s="467">
        <f>+'Raw Data'!D162</f>
        <v>4.1955181746895001</v>
      </c>
      <c r="G86" s="467">
        <f>+'Raw Data'!E162</f>
        <v>6.0926888928237171</v>
      </c>
      <c r="H86" s="467">
        <f>+'Raw Data'!F162</f>
        <v>7.7979214833177366</v>
      </c>
      <c r="I86" s="467">
        <f>+'Raw Data'!G162</f>
        <v>9.5346325854349541</v>
      </c>
      <c r="J86" s="467">
        <f>+'Raw Data'!H162</f>
        <v>11.278985404598693</v>
      </c>
      <c r="K86" s="468">
        <f>+'Raw Data'!I162</f>
        <v>13.084529886423997</v>
      </c>
    </row>
    <row r="87" spans="2:11">
      <c r="C87" s="509" t="s">
        <v>266</v>
      </c>
      <c r="D87" s="510"/>
      <c r="E87" s="467">
        <f>+'Raw Data'!C163</f>
        <v>1.7217952090658437</v>
      </c>
      <c r="F87" s="467">
        <f>+'Raw Data'!D163</f>
        <v>3.276965067159082</v>
      </c>
      <c r="G87" s="467">
        <f>+'Raw Data'!E163</f>
        <v>4.9987602762249255</v>
      </c>
      <c r="H87" s="467">
        <f>+'Raw Data'!F163</f>
        <v>6.6650137859509773</v>
      </c>
      <c r="I87" s="467">
        <f>+'Raw Data'!G163</f>
        <v>8.3868089950168212</v>
      </c>
      <c r="J87" s="467">
        <f>+'Raw Data'!H163</f>
        <v>10.053062504742872</v>
      </c>
      <c r="K87" s="468">
        <f>+'Raw Data'!I163</f>
        <v>11.774857713808718</v>
      </c>
    </row>
    <row r="88" spans="2:11">
      <c r="C88" s="509" t="s">
        <v>267</v>
      </c>
      <c r="D88" s="510"/>
      <c r="E88" s="467">
        <f>+'Raw Data'!C164</f>
        <v>3.9038089697214984</v>
      </c>
      <c r="F88" s="467">
        <f>+'Raw Data'!D164</f>
        <v>7.6047987757063717</v>
      </c>
      <c r="G88" s="467">
        <f>+'Raw Data'!E164</f>
        <v>11.276846938001162</v>
      </c>
      <c r="H88" s="467">
        <f>+'Raw Data'!F164</f>
        <v>14.707562795639088</v>
      </c>
      <c r="I88" s="467">
        <f>+'Raw Data'!G164</f>
        <v>18.205062605924166</v>
      </c>
      <c r="J88" s="467">
        <f>+'Raw Data'!H164</f>
        <v>21.986223661245038</v>
      </c>
      <c r="K88" s="468">
        <f>+'Raw Data'!I164</f>
        <v>25.552556851238204</v>
      </c>
    </row>
    <row r="89" spans="2:11">
      <c r="C89" s="509" t="s">
        <v>203</v>
      </c>
      <c r="D89" s="510"/>
      <c r="E89" s="467">
        <f>+'Raw Data'!C165</f>
        <v>4.6749999999999998</v>
      </c>
      <c r="F89" s="467">
        <f>+'Raw Data'!D165</f>
        <v>9.35</v>
      </c>
      <c r="G89" s="467">
        <f>+'Raw Data'!E165</f>
        <v>14.025</v>
      </c>
      <c r="H89" s="467">
        <f>+'Raw Data'!F165</f>
        <v>18.7</v>
      </c>
      <c r="I89" s="467">
        <f>+'Raw Data'!G165</f>
        <v>23.375</v>
      </c>
      <c r="J89" s="467">
        <f>+'Raw Data'!H165</f>
        <v>28.085000000000001</v>
      </c>
      <c r="K89" s="468">
        <f>+'Raw Data'!I165</f>
        <v>32.835000000000001</v>
      </c>
    </row>
    <row r="90" spans="2:11" ht="13.5" thickBot="1">
      <c r="C90" s="511" t="s">
        <v>144</v>
      </c>
      <c r="D90" s="512"/>
      <c r="E90" s="469">
        <f>+'Raw Data'!C166</f>
        <v>4.5799027894040449</v>
      </c>
      <c r="F90" s="469">
        <f>+'Raw Data'!D166</f>
        <v>9.1942424324251348</v>
      </c>
      <c r="G90" s="469">
        <f>+'Raw Data'!E166</f>
        <v>13.69695055761078</v>
      </c>
      <c r="H90" s="469">
        <f>+'Raw Data'!F166</f>
        <v>17.81536332460238</v>
      </c>
      <c r="I90" s="469">
        <f>+'Raw Data'!G166</f>
        <v>22.440746361353387</v>
      </c>
      <c r="J90" s="469">
        <f>+'Raw Data'!H166</f>
        <v>27.146844706072962</v>
      </c>
      <c r="K90" s="470">
        <f>+'Raw Data'!I166</f>
        <v>31.815555585558826</v>
      </c>
    </row>
    <row r="91" spans="2:11" ht="24.95" customHeight="1" thickTop="1" thickBot="1">
      <c r="B91" s="475" t="s">
        <v>278</v>
      </c>
    </row>
    <row r="92" spans="2:11" ht="24.95" customHeight="1" thickTop="1">
      <c r="B92" s="296"/>
    </row>
    <row r="109" spans="2:11" s="294" customFormat="1" ht="13.5" thickBot="1">
      <c r="B109" s="297"/>
      <c r="C109" s="293"/>
    </row>
    <row r="110" spans="2:11" ht="24.95" customHeight="1" thickTop="1" thickBot="1">
      <c r="B110" s="477" t="s">
        <v>277</v>
      </c>
      <c r="C110" s="505" t="s">
        <v>226</v>
      </c>
      <c r="D110" s="506"/>
      <c r="E110" s="362" t="s">
        <v>259</v>
      </c>
      <c r="F110" s="362" t="s">
        <v>260</v>
      </c>
      <c r="G110" s="362" t="s">
        <v>261</v>
      </c>
      <c r="H110" s="362" t="s">
        <v>262</v>
      </c>
      <c r="I110" s="362" t="s">
        <v>263</v>
      </c>
      <c r="J110" s="362" t="s">
        <v>264</v>
      </c>
      <c r="K110" s="363" t="s">
        <v>265</v>
      </c>
    </row>
    <row r="111" spans="2:11" ht="13.5" thickTop="1">
      <c r="C111" s="507" t="s">
        <v>255</v>
      </c>
      <c r="D111" s="508"/>
      <c r="E111" s="459">
        <f>+'Raw Data'!C185</f>
        <v>1092.333269230769</v>
      </c>
      <c r="F111" s="459">
        <f>+'Raw Data'!D185</f>
        <v>677.49000000000024</v>
      </c>
      <c r="G111" s="459">
        <f>+'Raw Data'!E185</f>
        <v>548.42230769230753</v>
      </c>
      <c r="H111" s="459">
        <f>+'Raw Data'!F185</f>
        <v>1455.0817307692303</v>
      </c>
      <c r="I111" s="459">
        <f>+'Raw Data'!G185</f>
        <v>1494.2059615384619</v>
      </c>
      <c r="J111" s="459">
        <f>+'Raw Data'!H185</f>
        <v>1245.187115384615</v>
      </c>
      <c r="K111" s="460">
        <f>+'Raw Data'!I185</f>
        <v>1718.9946153846149</v>
      </c>
    </row>
    <row r="112" spans="2:11">
      <c r="C112" s="509" t="s">
        <v>134</v>
      </c>
      <c r="D112" s="510"/>
      <c r="E112" s="461">
        <f>+'Raw Data'!C186</f>
        <v>1628.8505769230769</v>
      </c>
      <c r="F112" s="461">
        <f>+'Raw Data'!D186</f>
        <v>3189.6426923076924</v>
      </c>
      <c r="G112" s="461">
        <f>+'Raw Data'!E186</f>
        <v>4631.9667307692307</v>
      </c>
      <c r="H112" s="461">
        <f>+'Raw Data'!F186</f>
        <v>5928.3698076923092</v>
      </c>
      <c r="I112" s="461">
        <f>+'Raw Data'!G186</f>
        <v>7248.7044230769234</v>
      </c>
      <c r="J112" s="461">
        <f>+'Raw Data'!H186</f>
        <v>8574.8486538461566</v>
      </c>
      <c r="K112" s="462">
        <f>+'Raw Data'!I186</f>
        <v>9947.5138461538445</v>
      </c>
    </row>
    <row r="113" spans="2:11">
      <c r="C113" s="509" t="s">
        <v>266</v>
      </c>
      <c r="D113" s="510"/>
      <c r="E113" s="461">
        <f>+'Raw Data'!C187</f>
        <v>1308.9948076923076</v>
      </c>
      <c r="F113" s="461">
        <f>+'Raw Data'!D187</f>
        <v>2491.312692307692</v>
      </c>
      <c r="G113" s="461">
        <f>+'Raw Data'!E187</f>
        <v>3800.3074999999999</v>
      </c>
      <c r="H113" s="461">
        <f>+'Raw Data'!F187</f>
        <v>5067.0767307692304</v>
      </c>
      <c r="I113" s="461">
        <f>+'Raw Data'!G187</f>
        <v>6376.0715384615378</v>
      </c>
      <c r="J113" s="461">
        <f>+'Raw Data'!H187</f>
        <v>7642.8407692307683</v>
      </c>
      <c r="K113" s="462">
        <f>+'Raw Data'!I187</f>
        <v>8951.8355769230766</v>
      </c>
    </row>
    <row r="114" spans="2:11">
      <c r="C114" s="509" t="s">
        <v>267</v>
      </c>
      <c r="D114" s="510"/>
      <c r="E114" s="461">
        <f>+'Raw Data'!C188</f>
        <v>2967.8707692307694</v>
      </c>
      <c r="F114" s="461">
        <f>+'Raw Data'!D188</f>
        <v>5781.5482692307696</v>
      </c>
      <c r="G114" s="461">
        <f>+'Raw Data'!E188</f>
        <v>8573.2228846153848</v>
      </c>
      <c r="H114" s="461">
        <f>+'Raw Data'!F188</f>
        <v>11181.424615384616</v>
      </c>
      <c r="I114" s="461">
        <f>+'Raw Data'!G188</f>
        <v>13840.398846153847</v>
      </c>
      <c r="J114" s="461">
        <f>+'Raw Data'!H188</f>
        <v>16715.026538461541</v>
      </c>
      <c r="K114" s="462">
        <f>+'Raw Data'!I188</f>
        <v>19426.331346153846</v>
      </c>
    </row>
    <row r="115" spans="2:11">
      <c r="C115" s="509" t="s">
        <v>203</v>
      </c>
      <c r="D115" s="510"/>
      <c r="E115" s="461">
        <f>+'Raw Data'!C189</f>
        <v>5843.75</v>
      </c>
      <c r="F115" s="461">
        <f>+'Raw Data'!D189</f>
        <v>11687.5</v>
      </c>
      <c r="G115" s="461">
        <f>+'Raw Data'!E189</f>
        <v>17531.25</v>
      </c>
      <c r="H115" s="461">
        <f>+'Raw Data'!F189</f>
        <v>23375</v>
      </c>
      <c r="I115" s="461">
        <f>+'Raw Data'!G189</f>
        <v>29218.75</v>
      </c>
      <c r="J115" s="461">
        <f>+'Raw Data'!H189</f>
        <v>35106.25</v>
      </c>
      <c r="K115" s="462">
        <f>+'Raw Data'!I189</f>
        <v>41043.75</v>
      </c>
    </row>
    <row r="116" spans="2:11" ht="13.5" thickBot="1">
      <c r="C116" s="511" t="s">
        <v>144</v>
      </c>
      <c r="D116" s="512"/>
      <c r="E116" s="463">
        <f>+'Raw Data'!C190</f>
        <v>3392.1508000000003</v>
      </c>
      <c r="F116" s="463">
        <f>+'Raw Data'!D190</f>
        <v>6809.8076000000001</v>
      </c>
      <c r="G116" s="463">
        <f>+'Raw Data'!E190</f>
        <v>10144.7834</v>
      </c>
      <c r="H116" s="463">
        <f>+'Raw Data'!F190</f>
        <v>13195.127</v>
      </c>
      <c r="I116" s="463">
        <f>+'Raw Data'!G190</f>
        <v>16620.963200000002</v>
      </c>
      <c r="J116" s="463">
        <f>+'Raw Data'!H190</f>
        <v>20106.581999999999</v>
      </c>
      <c r="K116" s="464">
        <f>+'Raw Data'!I190</f>
        <v>23564.509399999999</v>
      </c>
    </row>
    <row r="117" spans="2:11" ht="24.95" customHeight="1" thickTop="1" thickBot="1">
      <c r="B117" s="475" t="s">
        <v>279</v>
      </c>
    </row>
    <row r="118" spans="2:11" ht="13.5" thickTop="1"/>
    <row r="140" spans="1:11" ht="13.5" thickBot="1"/>
    <row r="141" spans="1:11" s="326" customFormat="1" ht="13.5" thickBot="1">
      <c r="A141" s="324"/>
      <c r="B141" s="325"/>
      <c r="C141" s="518" t="s">
        <v>231</v>
      </c>
      <c r="D141" s="519"/>
      <c r="E141" s="364" t="s">
        <v>254</v>
      </c>
      <c r="F141" s="364"/>
      <c r="G141" s="364"/>
      <c r="H141" s="364"/>
      <c r="I141" s="364"/>
      <c r="J141" s="365"/>
    </row>
    <row r="142" spans="1:11" ht="24.95" customHeight="1" thickTop="1" thickBot="1">
      <c r="B142" s="477" t="s">
        <v>280</v>
      </c>
      <c r="C142" s="457" t="s">
        <v>226</v>
      </c>
      <c r="D142" s="458"/>
      <c r="E142" s="362" t="s">
        <v>259</v>
      </c>
      <c r="F142" s="362" t="s">
        <v>260</v>
      </c>
      <c r="G142" s="362" t="s">
        <v>261</v>
      </c>
      <c r="H142" s="362" t="s">
        <v>262</v>
      </c>
      <c r="I142" s="362" t="s">
        <v>263</v>
      </c>
      <c r="J142" s="362" t="s">
        <v>264</v>
      </c>
      <c r="K142" s="363" t="s">
        <v>265</v>
      </c>
    </row>
    <row r="143" spans="1:11" ht="13.5" thickTop="1">
      <c r="C143" s="507" t="s">
        <v>268</v>
      </c>
      <c r="D143" s="520"/>
      <c r="E143" s="459">
        <f>+'Raw Data'!C36</f>
        <v>7116.9</v>
      </c>
      <c r="F143" s="459">
        <f>+'Raw Data'!D36</f>
        <v>12094.68</v>
      </c>
      <c r="G143" s="459">
        <f>+'Raw Data'!E36</f>
        <v>17088.920000000002</v>
      </c>
      <c r="H143" s="459">
        <f>+'Raw Data'!F36</f>
        <v>23867.38</v>
      </c>
      <c r="I143" s="459">
        <f>+'Raw Data'!G36</f>
        <v>28703.530000000002</v>
      </c>
      <c r="J143" s="459">
        <f>+'Raw Data'!H36</f>
        <v>33125.86</v>
      </c>
      <c r="K143" s="460">
        <f>+'Raw Data'!I36</f>
        <v>38312.130000000005</v>
      </c>
    </row>
    <row r="144" spans="1:11">
      <c r="C144" s="509" t="s">
        <v>269</v>
      </c>
      <c r="D144" s="510"/>
      <c r="E144" s="461">
        <f>+'Raw Data'!C39</f>
        <v>5682.73</v>
      </c>
      <c r="F144" s="461">
        <f>+'Raw Data'!D39</f>
        <v>10628.34</v>
      </c>
      <c r="G144" s="461">
        <f>+'Raw Data'!E39</f>
        <v>14848.14</v>
      </c>
      <c r="H144" s="461">
        <f>+'Raw Data'!F39</f>
        <v>19646.919999999998</v>
      </c>
      <c r="I144" s="461">
        <f>+'Raw Data'!G39</f>
        <v>24571.9</v>
      </c>
      <c r="J144" s="461">
        <f>+'Raw Data'!H39</f>
        <v>29279.919999999998</v>
      </c>
      <c r="K144" s="462">
        <f>+'Raw Data'!I39</f>
        <v>35139.620000000003</v>
      </c>
    </row>
    <row r="145" spans="2:36">
      <c r="C145" s="509" t="s">
        <v>209</v>
      </c>
      <c r="D145" s="510"/>
      <c r="E145" s="461">
        <f>+'Raw Data'!C41</f>
        <v>19432.64</v>
      </c>
      <c r="F145" s="461">
        <f>+'Raw Data'!D41</f>
        <v>38865.279999999999</v>
      </c>
      <c r="G145" s="461">
        <f>+'Raw Data'!E41</f>
        <v>58297.919999999998</v>
      </c>
      <c r="H145" s="461">
        <f>+'Raw Data'!F41</f>
        <v>77730.559999999998</v>
      </c>
      <c r="I145" s="461">
        <f>+'Raw Data'!G41</f>
        <v>97163.199999999997</v>
      </c>
      <c r="J145" s="461">
        <f>+'Raw Data'!H41</f>
        <v>116595.83</v>
      </c>
      <c r="K145" s="462">
        <f>+'Raw Data'!I41</f>
        <v>136417.12</v>
      </c>
    </row>
    <row r="146" spans="2:36">
      <c r="C146" s="509" t="s">
        <v>270</v>
      </c>
      <c r="D146" s="510"/>
      <c r="E146" s="461">
        <f>+'Raw Data'!C44</f>
        <v>12064.61</v>
      </c>
      <c r="F146" s="461">
        <f>+'Raw Data'!D44</f>
        <v>22916.84</v>
      </c>
      <c r="G146" s="461">
        <f>+'Raw Data'!E44</f>
        <v>33856.839999999997</v>
      </c>
      <c r="H146" s="461">
        <f>+'Raw Data'!F44</f>
        <v>43485.34</v>
      </c>
      <c r="I146" s="461">
        <f>+'Raw Data'!G44</f>
        <v>53357.87</v>
      </c>
      <c r="J146" s="461">
        <f>+'Raw Data'!H44</f>
        <v>64000.72</v>
      </c>
      <c r="K146" s="462">
        <f>+'Raw Data'!I44</f>
        <v>74859.47</v>
      </c>
    </row>
    <row r="147" spans="2:36" ht="13.5" thickBot="1">
      <c r="C147" s="511" t="s">
        <v>220</v>
      </c>
      <c r="D147" s="512"/>
      <c r="E147" s="463">
        <f>+'Raw Data'!C47</f>
        <v>68067.73</v>
      </c>
      <c r="F147" s="463">
        <f>+'Raw Data'!D47</f>
        <v>129548.26</v>
      </c>
      <c r="G147" s="463">
        <f>+'Raw Data'!E47</f>
        <v>197615.99</v>
      </c>
      <c r="H147" s="463">
        <f>+'Raw Data'!F47</f>
        <v>263487.99</v>
      </c>
      <c r="I147" s="463">
        <f>+'Raw Data'!G47</f>
        <v>331555.71999999997</v>
      </c>
      <c r="J147" s="463">
        <f>+'Raw Data'!H47</f>
        <v>397427.72</v>
      </c>
      <c r="K147" s="464">
        <f>+'Raw Data'!I47</f>
        <v>465495.45</v>
      </c>
    </row>
    <row r="148" spans="2:36" s="81" customFormat="1" ht="15.75" customHeight="1" thickTop="1" thickBot="1">
      <c r="B148" s="513" t="s">
        <v>281</v>
      </c>
      <c r="C148" s="537" t="s">
        <v>217</v>
      </c>
      <c r="D148" s="538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5"/>
      <c r="U148" s="95"/>
      <c r="V148" s="94"/>
      <c r="W148" s="94"/>
      <c r="X148" s="94"/>
    </row>
    <row r="149" spans="2:36" s="82" customFormat="1" ht="15" customHeight="1" thickBot="1">
      <c r="B149" s="514"/>
      <c r="C149" s="537"/>
      <c r="D149" s="538"/>
      <c r="E149" s="521" t="s">
        <v>19</v>
      </c>
      <c r="F149" s="522"/>
      <c r="G149" s="522"/>
      <c r="H149" s="523"/>
      <c r="I149" s="521" t="s">
        <v>20</v>
      </c>
      <c r="J149" s="522"/>
      <c r="K149" s="522"/>
      <c r="L149" s="523"/>
      <c r="M149" s="521" t="s">
        <v>21</v>
      </c>
      <c r="N149" s="522"/>
      <c r="O149" s="522"/>
      <c r="P149" s="523"/>
      <c r="Q149" s="521" t="s">
        <v>22</v>
      </c>
      <c r="R149" s="522"/>
      <c r="S149" s="522"/>
      <c r="T149" s="523"/>
      <c r="U149" s="521" t="s">
        <v>23</v>
      </c>
      <c r="V149" s="522"/>
      <c r="W149" s="522"/>
      <c r="X149" s="523"/>
      <c r="Y149" s="521" t="s">
        <v>24</v>
      </c>
      <c r="Z149" s="522"/>
      <c r="AA149" s="522"/>
      <c r="AB149" s="523"/>
      <c r="AC149" s="521" t="s">
        <v>25</v>
      </c>
      <c r="AD149" s="522"/>
      <c r="AE149" s="522"/>
      <c r="AF149" s="523"/>
      <c r="AG149" s="521" t="s">
        <v>26</v>
      </c>
      <c r="AH149" s="522"/>
      <c r="AI149" s="522"/>
      <c r="AJ149" s="523"/>
    </row>
    <row r="150" spans="2:36" s="83" customFormat="1" ht="15" customHeight="1" thickTop="1" thickBot="1">
      <c r="B150" s="298"/>
      <c r="C150" s="530" t="s">
        <v>433</v>
      </c>
      <c r="D150" s="531"/>
      <c r="E150" s="166" t="s">
        <v>44</v>
      </c>
      <c r="F150" s="167" t="s">
        <v>305</v>
      </c>
      <c r="G150" s="167" t="s">
        <v>304</v>
      </c>
      <c r="H150" s="168" t="s">
        <v>189</v>
      </c>
      <c r="I150" s="166" t="s">
        <v>45</v>
      </c>
      <c r="J150" s="167" t="s">
        <v>306</v>
      </c>
      <c r="K150" s="167" t="s">
        <v>307</v>
      </c>
      <c r="L150" s="168" t="s">
        <v>189</v>
      </c>
      <c r="M150" s="166" t="s">
        <v>46</v>
      </c>
      <c r="N150" s="167" t="s">
        <v>308</v>
      </c>
      <c r="O150" s="167" t="s">
        <v>309</v>
      </c>
      <c r="P150" s="168" t="s">
        <v>189</v>
      </c>
      <c r="Q150" s="166" t="s">
        <v>47</v>
      </c>
      <c r="R150" s="167" t="s">
        <v>310</v>
      </c>
      <c r="S150" s="167" t="s">
        <v>311</v>
      </c>
      <c r="T150" s="168" t="s">
        <v>189</v>
      </c>
      <c r="U150" s="166" t="s">
        <v>48</v>
      </c>
      <c r="V150" s="167" t="s">
        <v>312</v>
      </c>
      <c r="W150" s="167" t="s">
        <v>313</v>
      </c>
      <c r="X150" s="168" t="s">
        <v>189</v>
      </c>
      <c r="Y150" s="166" t="s">
        <v>49</v>
      </c>
      <c r="Z150" s="167" t="s">
        <v>314</v>
      </c>
      <c r="AA150" s="167" t="s">
        <v>315</v>
      </c>
      <c r="AB150" s="168" t="s">
        <v>189</v>
      </c>
      <c r="AC150" s="166" t="s">
        <v>50</v>
      </c>
      <c r="AD150" s="167" t="s">
        <v>316</v>
      </c>
      <c r="AE150" s="167" t="s">
        <v>317</v>
      </c>
      <c r="AF150" s="168" t="s">
        <v>189</v>
      </c>
      <c r="AG150" s="166" t="s">
        <v>51</v>
      </c>
      <c r="AH150" s="167" t="s">
        <v>318</v>
      </c>
      <c r="AI150" s="167" t="s">
        <v>319</v>
      </c>
      <c r="AJ150" s="168" t="s">
        <v>189</v>
      </c>
    </row>
    <row r="151" spans="2:36" s="83" customFormat="1" ht="15" customHeight="1">
      <c r="B151" s="298"/>
      <c r="C151" s="533" t="s">
        <v>203</v>
      </c>
      <c r="D151" s="534"/>
      <c r="E151" s="405">
        <v>11687.5</v>
      </c>
      <c r="F151" s="405">
        <v>0</v>
      </c>
      <c r="G151" s="405">
        <v>11687.5</v>
      </c>
      <c r="H151" s="165">
        <f>+E151/$E$155</f>
        <v>5.6407781614552635E-2</v>
      </c>
      <c r="I151" s="405">
        <v>11687.5</v>
      </c>
      <c r="J151" s="405">
        <v>0</v>
      </c>
      <c r="K151" s="405">
        <v>23375</v>
      </c>
      <c r="L151" s="165">
        <f>+I151/$I$155</f>
        <v>5.9490266527083203E-2</v>
      </c>
      <c r="M151" s="405">
        <v>11687.5</v>
      </c>
      <c r="N151" s="405">
        <v>0</v>
      </c>
      <c r="O151" s="405">
        <v>35062.5</v>
      </c>
      <c r="P151" s="165">
        <f>+M151/$M$155</f>
        <v>6.0379373093949112E-2</v>
      </c>
      <c r="Q151" s="405">
        <v>11687.5</v>
      </c>
      <c r="R151" s="405">
        <v>0</v>
      </c>
      <c r="S151" s="405">
        <v>46750</v>
      </c>
      <c r="T151" s="165">
        <f>+Q151/$Q$155</f>
        <v>6.3191613625360868E-2</v>
      </c>
      <c r="U151" s="405">
        <v>11687.5</v>
      </c>
      <c r="V151" s="405">
        <v>0</v>
      </c>
      <c r="W151" s="405">
        <v>58437.5</v>
      </c>
      <c r="X151" s="165">
        <f>+U151/$U$155</f>
        <v>6.0368675829172477E-2</v>
      </c>
      <c r="Y151" s="405">
        <v>11775</v>
      </c>
      <c r="Z151" s="405">
        <v>0</v>
      </c>
      <c r="AA151" s="405">
        <v>70212.5</v>
      </c>
      <c r="AB151" s="165">
        <f>+Y151/$Y$155</f>
        <v>5.9829216168674183E-2</v>
      </c>
      <c r="AC151" s="405">
        <v>11875</v>
      </c>
      <c r="AD151" s="405">
        <v>0</v>
      </c>
      <c r="AE151" s="405">
        <v>82087.5</v>
      </c>
      <c r="AF151" s="165">
        <f>+AC151/$AC$155</f>
        <v>5.8991308729759898E-2</v>
      </c>
      <c r="AG151" s="405">
        <v>11875</v>
      </c>
      <c r="AH151" s="405">
        <v>0</v>
      </c>
      <c r="AI151" s="405">
        <v>93962.5</v>
      </c>
      <c r="AJ151" s="165">
        <f>+AG151/$AG$155</f>
        <v>6.2904482443637055E-2</v>
      </c>
    </row>
    <row r="152" spans="2:36" s="83" customFormat="1" ht="15" customHeight="1">
      <c r="B152" s="298"/>
      <c r="C152" s="550" t="s">
        <v>144</v>
      </c>
      <c r="D152" s="551"/>
      <c r="E152" s="406">
        <v>169607.54</v>
      </c>
      <c r="F152" s="404">
        <v>184892</v>
      </c>
      <c r="G152" s="323">
        <v>169607.54</v>
      </c>
      <c r="H152" s="162">
        <f t="shared" ref="H152:H154" si="0">+E152/$E$155</f>
        <v>0.81858268034237447</v>
      </c>
      <c r="I152" s="406">
        <v>170882.84</v>
      </c>
      <c r="J152" s="404">
        <v>189304</v>
      </c>
      <c r="K152" s="323">
        <v>340490.38</v>
      </c>
      <c r="L152" s="162">
        <f t="shared" ref="L152:L154" si="1">+I152/$I$155</f>
        <v>0.86980669061004612</v>
      </c>
      <c r="M152" s="406">
        <v>166748.79</v>
      </c>
      <c r="N152" s="404">
        <v>190231</v>
      </c>
      <c r="O152" s="323">
        <v>507239.17</v>
      </c>
      <c r="P152" s="162">
        <f t="shared" ref="P152:P154" si="2">+M152/$M$155</f>
        <v>0.86144918967910777</v>
      </c>
      <c r="Q152" s="406">
        <v>152517.18</v>
      </c>
      <c r="R152" s="404">
        <v>182535</v>
      </c>
      <c r="S152" s="323">
        <v>659756.35</v>
      </c>
      <c r="T152" s="162">
        <f t="shared" ref="T152:T154" si="3">+Q152/$Q$155</f>
        <v>0.8246251730301275</v>
      </c>
      <c r="U152" s="406">
        <v>171291.81</v>
      </c>
      <c r="V152" s="404">
        <v>178294</v>
      </c>
      <c r="W152" s="323">
        <v>831048.16</v>
      </c>
      <c r="X152" s="162">
        <f t="shared" ref="X152:X154" si="4">+U152/$U$155</f>
        <v>0.88476233155783568</v>
      </c>
      <c r="Y152" s="406">
        <v>174280.94</v>
      </c>
      <c r="Z152" s="404">
        <v>178594</v>
      </c>
      <c r="AA152" s="323">
        <v>1005329.1</v>
      </c>
      <c r="AB152" s="162">
        <f t="shared" ref="AB152:AB154" si="5">+Y152/$Y$155</f>
        <v>0.88552798584626202</v>
      </c>
      <c r="AC152" s="406">
        <v>172896.37</v>
      </c>
      <c r="AD152" s="404">
        <v>182634</v>
      </c>
      <c r="AE152" s="323">
        <v>1178225.47</v>
      </c>
      <c r="AF152" s="162">
        <f t="shared" ref="AF152:AF154" si="6">+AC152/$AC$155</f>
        <v>0.85889542239366712</v>
      </c>
      <c r="AG152" s="406">
        <v>158435.38</v>
      </c>
      <c r="AH152" s="404">
        <v>193736</v>
      </c>
      <c r="AI152" s="323">
        <v>1336660.8500000001</v>
      </c>
      <c r="AJ152" s="162">
        <f t="shared" ref="AJ152:AJ154" si="7">+AG152/$AG$155</f>
        <v>0.83926699618197609</v>
      </c>
    </row>
    <row r="153" spans="2:36" s="83" customFormat="1" ht="15" customHeight="1">
      <c r="B153" s="298"/>
      <c r="C153" s="528" t="s">
        <v>145</v>
      </c>
      <c r="D153" s="532"/>
      <c r="E153" s="407">
        <v>20249.71</v>
      </c>
      <c r="F153" s="404">
        <v>1550</v>
      </c>
      <c r="G153" s="408">
        <v>20249.71</v>
      </c>
      <c r="H153" s="162">
        <f t="shared" si="0"/>
        <v>9.7731869042825464E-2</v>
      </c>
      <c r="I153" s="407">
        <v>19492.55</v>
      </c>
      <c r="J153" s="407">
        <v>1550</v>
      </c>
      <c r="K153" s="407">
        <v>39742.26</v>
      </c>
      <c r="L153" s="162">
        <f t="shared" si="1"/>
        <v>9.9218566399357916E-2</v>
      </c>
      <c r="M153" s="407">
        <v>15558.87</v>
      </c>
      <c r="N153" s="407">
        <v>4905</v>
      </c>
      <c r="O153" s="407">
        <v>55301.13</v>
      </c>
      <c r="P153" s="162">
        <f t="shared" si="2"/>
        <v>8.0379449552962751E-2</v>
      </c>
      <c r="Q153" s="407">
        <v>16133</v>
      </c>
      <c r="R153" s="407">
        <v>1550</v>
      </c>
      <c r="S153" s="407">
        <v>71434.13</v>
      </c>
      <c r="T153" s="162">
        <f t="shared" si="3"/>
        <v>8.7227405571589034E-2</v>
      </c>
      <c r="U153" s="407">
        <v>11464.91</v>
      </c>
      <c r="V153" s="407">
        <v>1550</v>
      </c>
      <c r="W153" s="407">
        <v>82899.039999999994</v>
      </c>
      <c r="X153" s="162">
        <f t="shared" si="4"/>
        <v>5.9218946327327306E-2</v>
      </c>
      <c r="Y153" s="407">
        <v>13526.16</v>
      </c>
      <c r="Z153" s="407">
        <v>4905</v>
      </c>
      <c r="AA153" s="407">
        <v>96425.2</v>
      </c>
      <c r="AB153" s="162">
        <f t="shared" si="5"/>
        <v>6.8726925738605005E-2</v>
      </c>
      <c r="AC153" s="407">
        <v>12990.5</v>
      </c>
      <c r="AD153" s="407">
        <v>1700</v>
      </c>
      <c r="AE153" s="407">
        <v>109415.7</v>
      </c>
      <c r="AF153" s="162">
        <f t="shared" si="6"/>
        <v>6.4532765983490184E-2</v>
      </c>
      <c r="AG153" s="407">
        <v>14238.16</v>
      </c>
      <c r="AH153" s="404">
        <v>1700</v>
      </c>
      <c r="AI153" s="323">
        <v>123653.86</v>
      </c>
      <c r="AJ153" s="162">
        <f t="shared" si="7"/>
        <v>7.5422659852605919E-2</v>
      </c>
    </row>
    <row r="154" spans="2:36" s="83" customFormat="1" ht="15" customHeight="1" thickBot="1">
      <c r="B154" s="298"/>
      <c r="C154" s="535" t="s">
        <v>432</v>
      </c>
      <c r="D154" s="536"/>
      <c r="E154" s="404">
        <v>5651.84</v>
      </c>
      <c r="F154" s="404">
        <v>1172</v>
      </c>
      <c r="G154" s="404">
        <v>5651.84</v>
      </c>
      <c r="H154" s="162">
        <f t="shared" si="0"/>
        <v>2.7277669000247542E-2</v>
      </c>
      <c r="I154" s="404">
        <v>-5602.18</v>
      </c>
      <c r="J154" s="404">
        <v>312</v>
      </c>
      <c r="K154" s="404">
        <v>49.659999999999854</v>
      </c>
      <c r="L154" s="162">
        <f t="shared" si="1"/>
        <v>-2.8515523536487272E-2</v>
      </c>
      <c r="M154" s="404">
        <v>-427.40000000000009</v>
      </c>
      <c r="N154" s="404">
        <v>2532</v>
      </c>
      <c r="O154" s="404">
        <v>-377.73999999999978</v>
      </c>
      <c r="P154" s="162">
        <f t="shared" si="2"/>
        <v>-2.2080123260195812E-3</v>
      </c>
      <c r="Q154" s="404">
        <v>4615.66</v>
      </c>
      <c r="R154" s="404">
        <v>2662</v>
      </c>
      <c r="S154" s="404">
        <v>4237.9199999999983</v>
      </c>
      <c r="T154" s="162">
        <f t="shared" si="3"/>
        <v>2.4955807772922618E-2</v>
      </c>
      <c r="U154" s="404">
        <v>-842.15999999999985</v>
      </c>
      <c r="V154" s="404">
        <v>1042</v>
      </c>
      <c r="W154" s="404">
        <v>3395.7599999999984</v>
      </c>
      <c r="X154" s="162">
        <f t="shared" si="4"/>
        <v>-4.3499537143354772E-3</v>
      </c>
      <c r="Y154" s="404">
        <v>-2771.8999999999996</v>
      </c>
      <c r="Z154" s="404">
        <v>2322</v>
      </c>
      <c r="AA154" s="404">
        <v>623.86000000000058</v>
      </c>
      <c r="AB154" s="162">
        <f t="shared" si="5"/>
        <v>-1.4084127753541226E-2</v>
      </c>
      <c r="AC154" s="404">
        <v>3538.9700000000003</v>
      </c>
      <c r="AD154" s="404">
        <v>2102</v>
      </c>
      <c r="AE154" s="404">
        <v>4162.8300000000017</v>
      </c>
      <c r="AF154" s="162">
        <f t="shared" si="6"/>
        <v>1.7580502893082814E-2</v>
      </c>
      <c r="AG154" s="404">
        <v>4229.74</v>
      </c>
      <c r="AH154" s="404">
        <v>2302</v>
      </c>
      <c r="AI154" s="404">
        <v>8392.5700000000015</v>
      </c>
      <c r="AJ154" s="162">
        <f t="shared" si="7"/>
        <v>2.2405861521780999E-2</v>
      </c>
    </row>
    <row r="155" spans="2:36" s="83" customFormat="1" ht="15" customHeight="1" thickTop="1" thickBot="1">
      <c r="B155" s="298"/>
      <c r="C155" s="544" t="s">
        <v>135</v>
      </c>
      <c r="D155" s="545"/>
      <c r="E155" s="409">
        <f t="shared" ref="E155" si="8">SUM(E151:E154)</f>
        <v>207196.59</v>
      </c>
      <c r="F155" s="409">
        <f t="shared" ref="F155" si="9">SUM(F151:F154)</f>
        <v>187614</v>
      </c>
      <c r="G155" s="409">
        <f t="shared" ref="G155" si="10">SUM(G151:G154)</f>
        <v>207196.59</v>
      </c>
      <c r="H155" s="163">
        <f t="shared" ref="H155" si="11">SUM(H151:H154)</f>
        <v>1.0000000000000002</v>
      </c>
      <c r="I155" s="409">
        <f t="shared" ref="I155" si="12">SUM(I151:I154)</f>
        <v>196460.71</v>
      </c>
      <c r="J155" s="409">
        <f t="shared" ref="J155" si="13">SUM(J151:J154)</f>
        <v>191166</v>
      </c>
      <c r="K155" s="409">
        <f t="shared" ref="K155" si="14">SUM(K151:K154)</f>
        <v>403657.3</v>
      </c>
      <c r="L155" s="163">
        <f t="shared" ref="L155" si="15">SUM(L151:L154)</f>
        <v>1</v>
      </c>
      <c r="M155" s="409">
        <f t="shared" ref="M155" si="16">SUM(M151:M154)</f>
        <v>193567.76</v>
      </c>
      <c r="N155" s="409">
        <f t="shared" ref="N155" si="17">SUM(N151:N154)</f>
        <v>197668</v>
      </c>
      <c r="O155" s="409">
        <f t="shared" ref="O155" si="18">SUM(O151:O154)</f>
        <v>597225.05999999994</v>
      </c>
      <c r="P155" s="163">
        <f t="shared" ref="P155" si="19">SUM(P151:P154)</f>
        <v>1.0000000000000002</v>
      </c>
      <c r="Q155" s="409">
        <f t="shared" ref="Q155" si="20">SUM(Q151:Q154)</f>
        <v>184953.34</v>
      </c>
      <c r="R155" s="409">
        <f t="shared" ref="R155" si="21">SUM(R151:R154)</f>
        <v>186747</v>
      </c>
      <c r="S155" s="409">
        <f t="shared" ref="S155" si="22">SUM(S151:S154)</f>
        <v>782178.4</v>
      </c>
      <c r="T155" s="163">
        <f t="shared" ref="T155" si="23">SUM(T151:T154)</f>
        <v>1</v>
      </c>
      <c r="U155" s="409">
        <f t="shared" ref="U155" si="24">SUM(U151:U154)</f>
        <v>193602.06</v>
      </c>
      <c r="V155" s="409">
        <f t="shared" ref="V155" si="25">SUM(V151:V154)</f>
        <v>180886</v>
      </c>
      <c r="W155" s="409">
        <f t="shared" ref="W155" si="26">SUM(W151:W154)</f>
        <v>975780.46000000008</v>
      </c>
      <c r="X155" s="163">
        <f t="shared" ref="X155" si="27">SUM(X151:X154)</f>
        <v>1</v>
      </c>
      <c r="Y155" s="409">
        <f t="shared" ref="Y155" si="28">SUM(Y151:Y154)</f>
        <v>196810.2</v>
      </c>
      <c r="Z155" s="409">
        <f t="shared" ref="Z155" si="29">SUM(Z151:Z154)</f>
        <v>185821</v>
      </c>
      <c r="AA155" s="409">
        <f t="shared" ref="AA155" si="30">SUM(AA151:AA154)</f>
        <v>1172590.6600000001</v>
      </c>
      <c r="AB155" s="163">
        <f t="shared" ref="AB155" si="31">SUM(AB151:AB154)</f>
        <v>1</v>
      </c>
      <c r="AC155" s="409">
        <f t="shared" ref="AC155" si="32">SUM(AC151:AC154)</f>
        <v>201300.84</v>
      </c>
      <c r="AD155" s="409">
        <f t="shared" ref="AD155" si="33">SUM(AD151:AD154)</f>
        <v>186436</v>
      </c>
      <c r="AE155" s="409">
        <f t="shared" ref="AE155" si="34">SUM(AE151:AE154)</f>
        <v>1373891.5</v>
      </c>
      <c r="AF155" s="163">
        <f t="shared" ref="AF155" si="35">SUM(AF151:AF154)</f>
        <v>1</v>
      </c>
      <c r="AG155" s="409">
        <f t="shared" ref="AG155" si="36">SUM(AG151:AG154)</f>
        <v>188778.28</v>
      </c>
      <c r="AH155" s="409">
        <f t="shared" ref="AH155" si="37">SUM(AH151:AH154)</f>
        <v>197738</v>
      </c>
      <c r="AI155" s="409">
        <f t="shared" ref="AI155" si="38">SUM(AI151:AI154)</f>
        <v>1562669.7800000003</v>
      </c>
      <c r="AJ155" s="163">
        <f t="shared" ref="AJ155" si="39">SUM(AJ151:AJ154)</f>
        <v>1</v>
      </c>
    </row>
    <row r="156" spans="2:36" s="86" customFormat="1" ht="15" customHeight="1" thickTop="1">
      <c r="B156" s="299"/>
      <c r="C156" s="546" t="s">
        <v>147</v>
      </c>
      <c r="D156" s="547"/>
      <c r="E156" s="410"/>
      <c r="F156" s="410"/>
      <c r="G156" s="410"/>
      <c r="H156" s="85"/>
      <c r="I156" s="410"/>
      <c r="J156" s="410"/>
      <c r="K156" s="410"/>
      <c r="L156" s="164"/>
      <c r="M156" s="410"/>
      <c r="N156" s="410"/>
      <c r="O156" s="410"/>
      <c r="P156" s="164"/>
      <c r="Q156" s="410"/>
      <c r="R156" s="410"/>
      <c r="S156" s="410"/>
      <c r="T156" s="164"/>
      <c r="U156" s="410"/>
      <c r="V156" s="410"/>
      <c r="W156" s="410"/>
      <c r="X156" s="164"/>
      <c r="Y156" s="410"/>
      <c r="Z156" s="410"/>
      <c r="AA156" s="410"/>
      <c r="AB156" s="164"/>
      <c r="AC156" s="410"/>
      <c r="AD156" s="410"/>
      <c r="AE156" s="410"/>
      <c r="AF156" s="164"/>
      <c r="AG156" s="410"/>
      <c r="AH156" s="410"/>
      <c r="AI156" s="410"/>
      <c r="AJ156" s="164"/>
    </row>
    <row r="157" spans="2:36" s="83" customFormat="1" ht="15" customHeight="1">
      <c r="B157" s="298"/>
      <c r="C157" s="528" t="s">
        <v>204</v>
      </c>
      <c r="D157" s="529"/>
      <c r="E157" s="405">
        <v>7116.9</v>
      </c>
      <c r="F157" s="405">
        <v>5598</v>
      </c>
      <c r="G157" s="405">
        <v>7116.9</v>
      </c>
      <c r="H157" s="162">
        <f t="shared" ref="H157:H165" si="40">+E157/$E$155</f>
        <v>3.4348538265036116E-2</v>
      </c>
      <c r="I157" s="405">
        <v>4977.78</v>
      </c>
      <c r="J157" s="405">
        <v>5303</v>
      </c>
      <c r="K157" s="405">
        <v>12094.68</v>
      </c>
      <c r="L157" s="162">
        <f t="shared" ref="L157:L165" si="41">+I157/$I$155</f>
        <v>2.5337279907010415E-2</v>
      </c>
      <c r="M157" s="405">
        <v>4994.24</v>
      </c>
      <c r="N157" s="405">
        <v>10254</v>
      </c>
      <c r="O157" s="405">
        <v>17088.920000000002</v>
      </c>
      <c r="P157" s="162">
        <f t="shared" ref="P157:P165" si="42">+M157/$M$155</f>
        <v>2.5800990826158238E-2</v>
      </c>
      <c r="Q157" s="405">
        <v>6778.4599999999991</v>
      </c>
      <c r="R157" s="405">
        <v>8753</v>
      </c>
      <c r="S157" s="405">
        <v>23867.38</v>
      </c>
      <c r="T157" s="162">
        <f t="shared" ref="T157:T165" si="43">+Q157/$Q$155</f>
        <v>3.6649567939676025E-2</v>
      </c>
      <c r="U157" s="405">
        <v>4836.1499999999996</v>
      </c>
      <c r="V157" s="405">
        <v>6568</v>
      </c>
      <c r="W157" s="405">
        <v>28703.530000000002</v>
      </c>
      <c r="X157" s="162">
        <f t="shared" ref="X157:X165" si="44">+U157/$U$155</f>
        <v>2.4979847838395932E-2</v>
      </c>
      <c r="Y157" s="405">
        <v>4422.33</v>
      </c>
      <c r="Z157" s="405">
        <v>7965</v>
      </c>
      <c r="AA157" s="405">
        <v>33125.86</v>
      </c>
      <c r="AB157" s="162">
        <f t="shared" ref="AB157:AB165" si="45">+Y157/$Y$155</f>
        <v>2.2470024419466064E-2</v>
      </c>
      <c r="AC157" s="405">
        <v>5186.2700000000004</v>
      </c>
      <c r="AD157" s="405">
        <v>8209</v>
      </c>
      <c r="AE157" s="405">
        <v>38312.130000000005</v>
      </c>
      <c r="AF157" s="162">
        <f t="shared" ref="AF157:AF165" si="46">+AC157/$AC$155</f>
        <v>2.5763777240075107E-2</v>
      </c>
      <c r="AG157" s="405">
        <v>9295.2499999999982</v>
      </c>
      <c r="AH157" s="405">
        <v>6689</v>
      </c>
      <c r="AI157" s="405">
        <v>47607.38</v>
      </c>
      <c r="AJ157" s="162">
        <f t="shared" ref="AJ157:AJ165" si="47">+AG157/$AG$155</f>
        <v>4.9238980247091974E-2</v>
      </c>
    </row>
    <row r="158" spans="2:36" s="83" customFormat="1" ht="15" customHeight="1">
      <c r="B158" s="298"/>
      <c r="C158" s="528" t="s">
        <v>205</v>
      </c>
      <c r="D158" s="529"/>
      <c r="E158" s="404">
        <v>3183.52</v>
      </c>
      <c r="F158" s="404">
        <v>3827</v>
      </c>
      <c r="G158" s="404">
        <v>3183.52</v>
      </c>
      <c r="H158" s="162">
        <f t="shared" si="40"/>
        <v>1.536473162999449E-2</v>
      </c>
      <c r="I158" s="404">
        <v>4862.74</v>
      </c>
      <c r="J158" s="404">
        <v>3827</v>
      </c>
      <c r="K158" s="404">
        <v>8046.26</v>
      </c>
      <c r="L158" s="162">
        <f t="shared" si="41"/>
        <v>2.4751717531714103E-2</v>
      </c>
      <c r="M158" s="404">
        <v>2765.71</v>
      </c>
      <c r="N158" s="404">
        <v>3827</v>
      </c>
      <c r="O158" s="404">
        <v>10811.97</v>
      </c>
      <c r="P158" s="162">
        <f t="shared" si="42"/>
        <v>1.4288071525960728E-2</v>
      </c>
      <c r="Q158" s="404">
        <v>2254.0700000000002</v>
      </c>
      <c r="R158" s="404">
        <v>3827</v>
      </c>
      <c r="S158" s="404">
        <v>13066.04</v>
      </c>
      <c r="T158" s="162">
        <f t="shared" si="43"/>
        <v>1.2187235980707352E-2</v>
      </c>
      <c r="U158" s="404">
        <v>8288.68</v>
      </c>
      <c r="V158" s="404">
        <v>3827</v>
      </c>
      <c r="W158" s="404">
        <v>21354.720000000001</v>
      </c>
      <c r="X158" s="162">
        <f t="shared" si="44"/>
        <v>4.2812974200791047E-2</v>
      </c>
      <c r="Y158" s="404">
        <v>3266.48</v>
      </c>
      <c r="Z158" s="404">
        <v>3827</v>
      </c>
      <c r="AA158" s="404">
        <v>24621.200000000001</v>
      </c>
      <c r="AB158" s="162">
        <f t="shared" si="45"/>
        <v>1.6597107263749539E-2</v>
      </c>
      <c r="AC158" s="404">
        <v>5862.95</v>
      </c>
      <c r="AD158" s="404">
        <v>3827</v>
      </c>
      <c r="AE158" s="404">
        <v>30484.15</v>
      </c>
      <c r="AF158" s="162">
        <f t="shared" si="46"/>
        <v>2.9125313138285959E-2</v>
      </c>
      <c r="AG158" s="404">
        <v>3921.91</v>
      </c>
      <c r="AH158" s="404">
        <v>3827</v>
      </c>
      <c r="AI158" s="404">
        <v>34406.06</v>
      </c>
      <c r="AJ158" s="162">
        <f t="shared" si="47"/>
        <v>2.0775218420254704E-2</v>
      </c>
    </row>
    <row r="159" spans="2:36" s="83" customFormat="1" ht="15" customHeight="1">
      <c r="B159" s="298"/>
      <c r="C159" s="528" t="s">
        <v>206</v>
      </c>
      <c r="D159" s="529"/>
      <c r="E159" s="404">
        <v>1604.61</v>
      </c>
      <c r="F159" s="404">
        <v>0</v>
      </c>
      <c r="G159" s="404">
        <v>1604.61</v>
      </c>
      <c r="H159" s="162">
        <f t="shared" si="40"/>
        <v>7.7443842101841539E-3</v>
      </c>
      <c r="I159" s="404">
        <v>1290.3499999999999</v>
      </c>
      <c r="J159" s="404">
        <v>0</v>
      </c>
      <c r="K159" s="404">
        <v>2894.96</v>
      </c>
      <c r="L159" s="162">
        <f t="shared" si="41"/>
        <v>6.5679799284040045E-3</v>
      </c>
      <c r="M159" s="404">
        <v>1235.6199999999999</v>
      </c>
      <c r="N159" s="404">
        <v>1040</v>
      </c>
      <c r="O159" s="404">
        <v>4130.58</v>
      </c>
      <c r="P159" s="162">
        <f t="shared" si="42"/>
        <v>6.3833977311097663E-3</v>
      </c>
      <c r="Q159" s="404">
        <v>1422.81</v>
      </c>
      <c r="R159" s="404">
        <v>0</v>
      </c>
      <c r="S159" s="404">
        <v>5553.39</v>
      </c>
      <c r="T159" s="162">
        <f t="shared" si="43"/>
        <v>7.692805115063075E-3</v>
      </c>
      <c r="U159" s="404">
        <v>3085.74</v>
      </c>
      <c r="V159" s="404">
        <v>0</v>
      </c>
      <c r="W159" s="404">
        <v>8639.1299999999992</v>
      </c>
      <c r="X159" s="162">
        <f t="shared" si="44"/>
        <v>1.5938570075132465E-2</v>
      </c>
      <c r="Y159" s="404">
        <v>1088.5899999999999</v>
      </c>
      <c r="Z159" s="404">
        <v>395</v>
      </c>
      <c r="AA159" s="404">
        <v>9727.7199999999993</v>
      </c>
      <c r="AB159" s="162">
        <f t="shared" si="45"/>
        <v>5.5311665757160951E-3</v>
      </c>
      <c r="AC159" s="404">
        <v>6129.36</v>
      </c>
      <c r="AD159" s="404">
        <v>0</v>
      </c>
      <c r="AE159" s="404">
        <v>15857.08</v>
      </c>
      <c r="AF159" s="162">
        <f t="shared" si="46"/>
        <v>3.0448755206386621E-2</v>
      </c>
      <c r="AG159" s="404">
        <v>3053.86</v>
      </c>
      <c r="AH159" s="404">
        <v>0</v>
      </c>
      <c r="AI159" s="404">
        <v>18910.939999999999</v>
      </c>
      <c r="AJ159" s="162">
        <f t="shared" si="47"/>
        <v>1.6176966968869513E-2</v>
      </c>
    </row>
    <row r="160" spans="2:36" s="83" customFormat="1" ht="15" customHeight="1">
      <c r="B160" s="298"/>
      <c r="C160" s="528" t="s">
        <v>207</v>
      </c>
      <c r="D160" s="529"/>
      <c r="E160" s="404">
        <v>5682.73</v>
      </c>
      <c r="F160" s="404">
        <v>4690</v>
      </c>
      <c r="G160" s="404">
        <v>5682.73</v>
      </c>
      <c r="H160" s="162">
        <f t="shared" si="40"/>
        <v>2.7426754465408914E-2</v>
      </c>
      <c r="I160" s="404">
        <v>4945.6099999999997</v>
      </c>
      <c r="J160" s="404">
        <v>4779</v>
      </c>
      <c r="K160" s="404">
        <v>10628.34</v>
      </c>
      <c r="L160" s="162">
        <f t="shared" si="41"/>
        <v>2.5173532153070197E-2</v>
      </c>
      <c r="M160" s="404">
        <v>4219.8</v>
      </c>
      <c r="N160" s="404">
        <v>4942</v>
      </c>
      <c r="O160" s="404">
        <v>14848.14</v>
      </c>
      <c r="P160" s="162">
        <f t="shared" si="42"/>
        <v>2.180011795352697E-2</v>
      </c>
      <c r="Q160" s="404">
        <v>4798.78</v>
      </c>
      <c r="R160" s="404">
        <v>4669</v>
      </c>
      <c r="S160" s="404">
        <v>19646.919999999998</v>
      </c>
      <c r="T160" s="162">
        <f t="shared" si="43"/>
        <v>2.5945895326897041E-2</v>
      </c>
      <c r="U160" s="404">
        <v>4924.9799999999996</v>
      </c>
      <c r="V160" s="404">
        <v>4522</v>
      </c>
      <c r="W160" s="404">
        <v>24571.9</v>
      </c>
      <c r="X160" s="162">
        <f t="shared" si="44"/>
        <v>2.5438675600869123E-2</v>
      </c>
      <c r="Y160" s="404">
        <v>4708.0200000000004</v>
      </c>
      <c r="Z160" s="404">
        <v>4646</v>
      </c>
      <c r="AA160" s="404">
        <v>29279.919999999998</v>
      </c>
      <c r="AB160" s="162">
        <f t="shared" si="45"/>
        <v>2.3921626013285898E-2</v>
      </c>
      <c r="AC160" s="404">
        <v>5859.7</v>
      </c>
      <c r="AD160" s="404">
        <v>4661</v>
      </c>
      <c r="AE160" s="404">
        <v>35139.620000000003</v>
      </c>
      <c r="AF160" s="162">
        <f t="shared" si="46"/>
        <v>2.910916814852834E-2</v>
      </c>
      <c r="AG160" s="404">
        <v>4325.05</v>
      </c>
      <c r="AH160" s="404">
        <v>4943</v>
      </c>
      <c r="AI160" s="404">
        <v>39464.67</v>
      </c>
      <c r="AJ160" s="162">
        <f t="shared" si="47"/>
        <v>2.29107395193981E-2</v>
      </c>
    </row>
    <row r="161" spans="2:36" s="83" customFormat="1" ht="15" customHeight="1">
      <c r="B161" s="298"/>
      <c r="C161" s="528" t="s">
        <v>208</v>
      </c>
      <c r="D161" s="529"/>
      <c r="E161" s="404">
        <v>1884.48</v>
      </c>
      <c r="F161" s="404">
        <v>1885</v>
      </c>
      <c r="G161" s="404">
        <v>1884.48</v>
      </c>
      <c r="H161" s="162">
        <f t="shared" si="40"/>
        <v>9.0951303783522695E-3</v>
      </c>
      <c r="I161" s="404">
        <v>1884.64</v>
      </c>
      <c r="J161" s="404">
        <v>1885</v>
      </c>
      <c r="K161" s="404">
        <v>3769.12</v>
      </c>
      <c r="L161" s="162">
        <f t="shared" si="41"/>
        <v>9.5929613610782546E-3</v>
      </c>
      <c r="M161" s="404">
        <v>1884.64</v>
      </c>
      <c r="N161" s="404">
        <v>1885</v>
      </c>
      <c r="O161" s="404">
        <v>5653.76</v>
      </c>
      <c r="P161" s="162">
        <f t="shared" si="42"/>
        <v>9.7363321247298622E-3</v>
      </c>
      <c r="Q161" s="404">
        <v>1884.64</v>
      </c>
      <c r="R161" s="404">
        <v>1885</v>
      </c>
      <c r="S161" s="404">
        <v>7538.4</v>
      </c>
      <c r="T161" s="162">
        <f t="shared" si="43"/>
        <v>1.0189813279392522E-2</v>
      </c>
      <c r="U161" s="404">
        <v>1884.53</v>
      </c>
      <c r="V161" s="404">
        <v>1885</v>
      </c>
      <c r="W161" s="404">
        <v>9422.93</v>
      </c>
      <c r="X161" s="162">
        <f t="shared" si="44"/>
        <v>9.7340389869818526E-3</v>
      </c>
      <c r="Y161" s="404">
        <v>1650.55</v>
      </c>
      <c r="Z161" s="404">
        <v>1941</v>
      </c>
      <c r="AA161" s="404">
        <v>11073.48</v>
      </c>
      <c r="AB161" s="162">
        <f t="shared" si="45"/>
        <v>8.3865063904208208E-3</v>
      </c>
      <c r="AC161" s="404">
        <v>1650.55</v>
      </c>
      <c r="AD161" s="404">
        <v>1941</v>
      </c>
      <c r="AE161" s="404">
        <v>12724.03</v>
      </c>
      <c r="AF161" s="162">
        <f t="shared" si="46"/>
        <v>8.1994193367499104E-3</v>
      </c>
      <c r="AG161" s="404">
        <v>1650.55</v>
      </c>
      <c r="AH161" s="404">
        <v>1941</v>
      </c>
      <c r="AI161" s="404">
        <v>14374.58</v>
      </c>
      <c r="AJ161" s="162">
        <f t="shared" si="47"/>
        <v>8.7433257681974845E-3</v>
      </c>
    </row>
    <row r="162" spans="2:36" s="83" customFormat="1" ht="15" customHeight="1">
      <c r="B162" s="298"/>
      <c r="C162" s="528" t="s">
        <v>209</v>
      </c>
      <c r="D162" s="529"/>
      <c r="E162" s="404">
        <v>19432.64</v>
      </c>
      <c r="F162" s="404">
        <v>19433</v>
      </c>
      <c r="G162" s="404">
        <v>19432.64</v>
      </c>
      <c r="H162" s="162">
        <f t="shared" si="40"/>
        <v>9.3788416112446635E-2</v>
      </c>
      <c r="I162" s="404">
        <v>19432.64</v>
      </c>
      <c r="J162" s="404">
        <v>19433</v>
      </c>
      <c r="K162" s="404">
        <v>38865.279999999999</v>
      </c>
      <c r="L162" s="162">
        <f t="shared" si="41"/>
        <v>9.8913619929399621E-2</v>
      </c>
      <c r="M162" s="404">
        <v>19432.64</v>
      </c>
      <c r="N162" s="404">
        <v>19433</v>
      </c>
      <c r="O162" s="404">
        <v>58297.919999999998</v>
      </c>
      <c r="P162" s="162">
        <f t="shared" si="42"/>
        <v>0.10039192477094325</v>
      </c>
      <c r="Q162" s="404">
        <v>19432.64</v>
      </c>
      <c r="R162" s="404">
        <v>19433</v>
      </c>
      <c r="S162" s="404">
        <v>77730.559999999998</v>
      </c>
      <c r="T162" s="162">
        <f t="shared" si="43"/>
        <v>0.10506779709952792</v>
      </c>
      <c r="U162" s="404">
        <v>19432.64</v>
      </c>
      <c r="V162" s="404">
        <v>19433</v>
      </c>
      <c r="W162" s="404">
        <v>97163.199999999997</v>
      </c>
      <c r="X162" s="162">
        <f t="shared" si="44"/>
        <v>0.10037413858096345</v>
      </c>
      <c r="Y162" s="404">
        <v>19432.63</v>
      </c>
      <c r="Z162" s="404">
        <v>19433</v>
      </c>
      <c r="AA162" s="404">
        <v>116595.83</v>
      </c>
      <c r="AB162" s="162">
        <f t="shared" si="45"/>
        <v>9.8737921103682638E-2</v>
      </c>
      <c r="AC162" s="404">
        <v>19821.29</v>
      </c>
      <c r="AD162" s="404">
        <v>19821</v>
      </c>
      <c r="AE162" s="404">
        <v>136417.12</v>
      </c>
      <c r="AF162" s="162">
        <f t="shared" si="46"/>
        <v>9.8466007394703375E-2</v>
      </c>
      <c r="AG162" s="404">
        <v>19821.29</v>
      </c>
      <c r="AH162" s="404">
        <v>19821</v>
      </c>
      <c r="AI162" s="404">
        <v>156238.41</v>
      </c>
      <c r="AJ162" s="162">
        <f t="shared" si="47"/>
        <v>0.10499772537391484</v>
      </c>
    </row>
    <row r="163" spans="2:36" s="83" customFormat="1" ht="15" customHeight="1">
      <c r="B163" s="298"/>
      <c r="C163" s="528" t="s">
        <v>210</v>
      </c>
      <c r="D163" s="529"/>
      <c r="E163" s="404">
        <v>1580.3</v>
      </c>
      <c r="F163" s="404">
        <v>2995</v>
      </c>
      <c r="G163" s="404">
        <v>1580.3</v>
      </c>
      <c r="H163" s="162">
        <f t="shared" si="40"/>
        <v>7.6270560244258842E-3</v>
      </c>
      <c r="I163" s="404">
        <v>1051.06</v>
      </c>
      <c r="J163" s="404">
        <v>2675</v>
      </c>
      <c r="K163" s="404">
        <v>2631.36</v>
      </c>
      <c r="L163" s="162">
        <f t="shared" si="41"/>
        <v>5.3499755752689686E-3</v>
      </c>
      <c r="M163" s="404">
        <v>1000.79</v>
      </c>
      <c r="N163" s="404">
        <v>3395</v>
      </c>
      <c r="O163" s="404">
        <v>3632.15</v>
      </c>
      <c r="P163" s="162">
        <f t="shared" si="42"/>
        <v>5.1702308276956859E-3</v>
      </c>
      <c r="Q163" s="404">
        <v>2926.5</v>
      </c>
      <c r="R163" s="404">
        <v>3025</v>
      </c>
      <c r="S163" s="404">
        <v>6558.65</v>
      </c>
      <c r="T163" s="162">
        <f t="shared" si="43"/>
        <v>1.5822909713336348E-2</v>
      </c>
      <c r="U163" s="404">
        <v>2538.56</v>
      </c>
      <c r="V163" s="404">
        <v>3545</v>
      </c>
      <c r="W163" s="404">
        <v>9097.2099999999991</v>
      </c>
      <c r="X163" s="162">
        <f t="shared" si="44"/>
        <v>1.3112257173296607E-2</v>
      </c>
      <c r="Y163" s="404">
        <v>1632.44</v>
      </c>
      <c r="Z163" s="404">
        <v>3201</v>
      </c>
      <c r="AA163" s="404">
        <v>10729.65</v>
      </c>
      <c r="AB163" s="162">
        <f t="shared" si="45"/>
        <v>8.294488801901527E-3</v>
      </c>
      <c r="AC163" s="404">
        <v>4685.46</v>
      </c>
      <c r="AD163" s="404">
        <v>2915</v>
      </c>
      <c r="AE163" s="404">
        <v>15415.11</v>
      </c>
      <c r="AF163" s="162">
        <f t="shared" si="46"/>
        <v>2.3275908833763438E-2</v>
      </c>
      <c r="AG163" s="404">
        <v>384.04</v>
      </c>
      <c r="AH163" s="404">
        <v>2865</v>
      </c>
      <c r="AI163" s="404">
        <v>15799.15</v>
      </c>
      <c r="AJ163" s="162">
        <f t="shared" si="47"/>
        <v>2.034344205276158E-3</v>
      </c>
    </row>
    <row r="164" spans="2:36" s="83" customFormat="1" ht="15" customHeight="1">
      <c r="B164" s="298"/>
      <c r="C164" s="528" t="s">
        <v>211</v>
      </c>
      <c r="D164" s="529"/>
      <c r="E164" s="404">
        <v>317.52</v>
      </c>
      <c r="F164" s="404">
        <v>155</v>
      </c>
      <c r="G164" s="404">
        <v>317.52</v>
      </c>
      <c r="H164" s="162">
        <f t="shared" si="40"/>
        <v>1.5324576528986311E-3</v>
      </c>
      <c r="I164" s="404">
        <v>852.43</v>
      </c>
      <c r="J164" s="404">
        <v>90</v>
      </c>
      <c r="K164" s="404">
        <v>1169.9499999999998</v>
      </c>
      <c r="L164" s="162">
        <f t="shared" si="41"/>
        <v>4.3389337236946768E-3</v>
      </c>
      <c r="M164" s="404">
        <v>1927.2399999999998</v>
      </c>
      <c r="N164" s="404">
        <v>1301</v>
      </c>
      <c r="O164" s="404">
        <v>3097.19</v>
      </c>
      <c r="P164" s="162">
        <f t="shared" si="42"/>
        <v>9.9564100963920842E-3</v>
      </c>
      <c r="Q164" s="404">
        <v>200.45</v>
      </c>
      <c r="R164" s="404">
        <v>90</v>
      </c>
      <c r="S164" s="404">
        <v>3297.6400000000003</v>
      </c>
      <c r="T164" s="162">
        <f t="shared" si="43"/>
        <v>1.083786862135066E-3</v>
      </c>
      <c r="U164" s="404">
        <v>471.59000000000003</v>
      </c>
      <c r="V164" s="404">
        <v>290</v>
      </c>
      <c r="W164" s="404">
        <v>3769.2300000000005</v>
      </c>
      <c r="X164" s="162">
        <f t="shared" si="44"/>
        <v>2.435872841435675E-3</v>
      </c>
      <c r="Y164" s="404">
        <v>485.66999999999996</v>
      </c>
      <c r="Z164" s="404">
        <v>886</v>
      </c>
      <c r="AA164" s="404">
        <v>4254.9000000000005</v>
      </c>
      <c r="AB164" s="162">
        <f t="shared" si="45"/>
        <v>2.4677074663813151E-3</v>
      </c>
      <c r="AC164" s="404">
        <v>258.65999999999997</v>
      </c>
      <c r="AD164" s="404">
        <v>185</v>
      </c>
      <c r="AE164" s="404">
        <v>4513.5600000000004</v>
      </c>
      <c r="AF164" s="162">
        <f t="shared" si="46"/>
        <v>1.2849424771401846E-3</v>
      </c>
      <c r="AG164" s="404">
        <v>109.92999999999999</v>
      </c>
      <c r="AH164" s="404">
        <v>290</v>
      </c>
      <c r="AI164" s="404">
        <v>4623.4900000000007</v>
      </c>
      <c r="AJ164" s="162">
        <f t="shared" si="47"/>
        <v>5.8232334779191759E-4</v>
      </c>
    </row>
    <row r="165" spans="2:36" s="83" customFormat="1" ht="15" customHeight="1" thickBot="1">
      <c r="B165" s="298"/>
      <c r="C165" s="535" t="s">
        <v>212</v>
      </c>
      <c r="D165" s="541"/>
      <c r="E165" s="404">
        <v>12064.61</v>
      </c>
      <c r="F165" s="404">
        <v>8532.64</v>
      </c>
      <c r="G165" s="404">
        <v>12064.61</v>
      </c>
      <c r="H165" s="162">
        <f t="shared" si="40"/>
        <v>5.8227840525753832E-2</v>
      </c>
      <c r="I165" s="404">
        <v>10852.23</v>
      </c>
      <c r="J165" s="404">
        <v>8532.64</v>
      </c>
      <c r="K165" s="404">
        <v>22916.84</v>
      </c>
      <c r="L165" s="162">
        <f t="shared" si="41"/>
        <v>5.5238678512360057E-2</v>
      </c>
      <c r="M165" s="404">
        <v>10940</v>
      </c>
      <c r="N165" s="404">
        <v>8532.64</v>
      </c>
      <c r="O165" s="404">
        <v>33856.839999999997</v>
      </c>
      <c r="P165" s="162">
        <f t="shared" si="42"/>
        <v>5.6517676290721137E-2</v>
      </c>
      <c r="Q165" s="404">
        <v>9628.5</v>
      </c>
      <c r="R165" s="404">
        <v>8532.64</v>
      </c>
      <c r="S165" s="404">
        <v>43485.34</v>
      </c>
      <c r="T165" s="162">
        <f t="shared" si="43"/>
        <v>5.205907608913686E-2</v>
      </c>
      <c r="U165" s="404">
        <v>9872.5300000000007</v>
      </c>
      <c r="V165" s="404">
        <v>8532.64</v>
      </c>
      <c r="W165" s="404">
        <v>53357.87</v>
      </c>
      <c r="X165" s="162">
        <f t="shared" si="44"/>
        <v>5.0993930539788679E-2</v>
      </c>
      <c r="Y165" s="404">
        <v>10642.85</v>
      </c>
      <c r="Z165" s="404">
        <v>8532.64</v>
      </c>
      <c r="AA165" s="404">
        <v>64000.72</v>
      </c>
      <c r="AB165" s="162">
        <f t="shared" si="45"/>
        <v>5.4076719600914994E-2</v>
      </c>
      <c r="AC165" s="404">
        <v>10858.75</v>
      </c>
      <c r="AD165" s="404">
        <v>8959.2800000000007</v>
      </c>
      <c r="AE165" s="404">
        <v>74859.47</v>
      </c>
      <c r="AF165" s="162">
        <f t="shared" si="46"/>
        <v>5.3942894624781496E-2</v>
      </c>
      <c r="AG165" s="404">
        <v>9130.25</v>
      </c>
      <c r="AH165" s="404">
        <v>8959.2800000000007</v>
      </c>
      <c r="AI165" s="404">
        <v>83989.72</v>
      </c>
      <c r="AJ165" s="162">
        <f t="shared" si="47"/>
        <v>4.8364939017348819E-2</v>
      </c>
    </row>
    <row r="166" spans="2:36" s="83" customFormat="1" ht="15" customHeight="1" thickTop="1" thickBot="1">
      <c r="B166" s="298"/>
      <c r="C166" s="544" t="s">
        <v>136</v>
      </c>
      <c r="D166" s="545"/>
      <c r="E166" s="409">
        <f t="shared" ref="E166:AJ166" si="48">+SUM(E157:E165)</f>
        <v>52867.310000000005</v>
      </c>
      <c r="F166" s="409">
        <f t="shared" si="48"/>
        <v>47115.64</v>
      </c>
      <c r="G166" s="409">
        <f t="shared" si="48"/>
        <v>52867.310000000005</v>
      </c>
      <c r="H166" s="163">
        <f t="shared" si="48"/>
        <v>0.25515530926450092</v>
      </c>
      <c r="I166" s="409">
        <f t="shared" si="48"/>
        <v>50149.479999999996</v>
      </c>
      <c r="J166" s="409">
        <f t="shared" si="48"/>
        <v>46524.639999999999</v>
      </c>
      <c r="K166" s="409">
        <f t="shared" si="48"/>
        <v>103016.79000000001</v>
      </c>
      <c r="L166" s="163">
        <f t="shared" si="48"/>
        <v>0.25526467862200031</v>
      </c>
      <c r="M166" s="409">
        <f t="shared" si="48"/>
        <v>48400.679999999993</v>
      </c>
      <c r="N166" s="409">
        <f t="shared" si="48"/>
        <v>54609.64</v>
      </c>
      <c r="O166" s="409">
        <f t="shared" si="48"/>
        <v>151417.47</v>
      </c>
      <c r="P166" s="163">
        <f t="shared" si="48"/>
        <v>0.25004515214723771</v>
      </c>
      <c r="Q166" s="409">
        <f t="shared" si="48"/>
        <v>49326.849999999991</v>
      </c>
      <c r="R166" s="409">
        <f t="shared" si="48"/>
        <v>50214.64</v>
      </c>
      <c r="S166" s="409">
        <f t="shared" si="48"/>
        <v>200744.32000000001</v>
      </c>
      <c r="T166" s="163">
        <f t="shared" si="48"/>
        <v>0.26669888740587222</v>
      </c>
      <c r="U166" s="409">
        <f t="shared" si="48"/>
        <v>55335.399999999994</v>
      </c>
      <c r="V166" s="409">
        <f t="shared" si="48"/>
        <v>48602.64</v>
      </c>
      <c r="W166" s="409">
        <f t="shared" si="48"/>
        <v>256079.71999999997</v>
      </c>
      <c r="X166" s="163">
        <f t="shared" si="48"/>
        <v>0.28582030583765483</v>
      </c>
      <c r="Y166" s="409">
        <f t="shared" si="48"/>
        <v>47329.56</v>
      </c>
      <c r="Z166" s="409">
        <f t="shared" si="48"/>
        <v>50826.64</v>
      </c>
      <c r="AA166" s="409">
        <f t="shared" si="48"/>
        <v>303409.28000000003</v>
      </c>
      <c r="AB166" s="163">
        <f t="shared" si="48"/>
        <v>0.24048326763551886</v>
      </c>
      <c r="AC166" s="409">
        <f t="shared" si="48"/>
        <v>60312.990000000005</v>
      </c>
      <c r="AD166" s="409">
        <f t="shared" si="48"/>
        <v>50518.28</v>
      </c>
      <c r="AE166" s="409">
        <f t="shared" si="48"/>
        <v>363722.27</v>
      </c>
      <c r="AF166" s="163">
        <f t="shared" si="48"/>
        <v>0.29961618640041443</v>
      </c>
      <c r="AG166" s="409">
        <f t="shared" si="48"/>
        <v>51692.130000000005</v>
      </c>
      <c r="AH166" s="409">
        <f t="shared" si="48"/>
        <v>49335.28</v>
      </c>
      <c r="AI166" s="409">
        <f t="shared" si="48"/>
        <v>415414.4</v>
      </c>
      <c r="AJ166" s="163">
        <f t="shared" si="48"/>
        <v>0.27382456286814355</v>
      </c>
    </row>
    <row r="167" spans="2:36" s="83" customFormat="1" ht="15" customHeight="1" thickTop="1" thickBot="1">
      <c r="B167" s="298"/>
      <c r="C167" s="544" t="s">
        <v>148</v>
      </c>
      <c r="D167" s="545"/>
      <c r="E167" s="409">
        <f t="shared" ref="E167:AJ167" si="49">+E155-E166</f>
        <v>154329.28</v>
      </c>
      <c r="F167" s="409">
        <f t="shared" si="49"/>
        <v>140498.35999999999</v>
      </c>
      <c r="G167" s="409">
        <f t="shared" si="49"/>
        <v>154329.28</v>
      </c>
      <c r="H167" s="163">
        <f t="shared" si="49"/>
        <v>0.7448446907354993</v>
      </c>
      <c r="I167" s="409">
        <f t="shared" si="49"/>
        <v>146311.22999999998</v>
      </c>
      <c r="J167" s="409">
        <f t="shared" si="49"/>
        <v>144641.35999999999</v>
      </c>
      <c r="K167" s="409">
        <f t="shared" si="49"/>
        <v>300640.51</v>
      </c>
      <c r="L167" s="163">
        <f t="shared" si="49"/>
        <v>0.74473532137799969</v>
      </c>
      <c r="M167" s="409">
        <f t="shared" si="49"/>
        <v>145167.08000000002</v>
      </c>
      <c r="N167" s="409">
        <f t="shared" si="49"/>
        <v>143058.35999999999</v>
      </c>
      <c r="O167" s="409">
        <f t="shared" si="49"/>
        <v>445807.58999999997</v>
      </c>
      <c r="P167" s="163">
        <f t="shared" si="49"/>
        <v>0.74995484785276245</v>
      </c>
      <c r="Q167" s="409">
        <f t="shared" si="49"/>
        <v>135626.49</v>
      </c>
      <c r="R167" s="409">
        <f t="shared" si="49"/>
        <v>136532.35999999999</v>
      </c>
      <c r="S167" s="409">
        <f t="shared" si="49"/>
        <v>581434.08000000007</v>
      </c>
      <c r="T167" s="163">
        <f t="shared" si="49"/>
        <v>0.73330111259412778</v>
      </c>
      <c r="U167" s="409">
        <f t="shared" si="49"/>
        <v>138266.66</v>
      </c>
      <c r="V167" s="409">
        <f t="shared" si="49"/>
        <v>132283.35999999999</v>
      </c>
      <c r="W167" s="409">
        <f t="shared" si="49"/>
        <v>719700.74000000011</v>
      </c>
      <c r="X167" s="163">
        <f t="shared" si="49"/>
        <v>0.71417969416234517</v>
      </c>
      <c r="Y167" s="409">
        <f t="shared" si="49"/>
        <v>149480.64000000001</v>
      </c>
      <c r="Z167" s="409">
        <f t="shared" si="49"/>
        <v>134994.35999999999</v>
      </c>
      <c r="AA167" s="409">
        <f t="shared" si="49"/>
        <v>869181.38000000012</v>
      </c>
      <c r="AB167" s="163">
        <f t="shared" si="49"/>
        <v>0.75951673236448114</v>
      </c>
      <c r="AC167" s="409">
        <f t="shared" si="49"/>
        <v>140987.84999999998</v>
      </c>
      <c r="AD167" s="409">
        <f t="shared" si="49"/>
        <v>135917.72</v>
      </c>
      <c r="AE167" s="409">
        <f t="shared" si="49"/>
        <v>1010169.23</v>
      </c>
      <c r="AF167" s="163">
        <f t="shared" si="49"/>
        <v>0.70038381359958557</v>
      </c>
      <c r="AG167" s="409">
        <f t="shared" si="49"/>
        <v>137086.15</v>
      </c>
      <c r="AH167" s="409">
        <f t="shared" si="49"/>
        <v>148402.72</v>
      </c>
      <c r="AI167" s="409">
        <f t="shared" si="49"/>
        <v>1147255.3800000004</v>
      </c>
      <c r="AJ167" s="163">
        <f t="shared" si="49"/>
        <v>0.7261754371318565</v>
      </c>
    </row>
    <row r="168" spans="2:36" s="87" customFormat="1" ht="15" customHeight="1" thickTop="1">
      <c r="B168" s="300"/>
      <c r="C168" s="539" t="s">
        <v>266</v>
      </c>
      <c r="D168" s="540"/>
      <c r="E168" s="404">
        <v>68067.73</v>
      </c>
      <c r="F168" s="404">
        <v>68067.73</v>
      </c>
      <c r="G168" s="404">
        <v>68067.73</v>
      </c>
      <c r="H168" s="162">
        <f t="shared" ref="H168:H169" si="50">+E168/$E$155</f>
        <v>0.32851761701290544</v>
      </c>
      <c r="I168" s="404">
        <v>61480.53</v>
      </c>
      <c r="J168" s="404">
        <v>68067.73</v>
      </c>
      <c r="K168" s="404">
        <v>129548.26</v>
      </c>
      <c r="L168" s="162">
        <f t="shared" ref="L168:L169" si="51">+I168/$I$155</f>
        <v>0.31294058745893771</v>
      </c>
      <c r="M168" s="404">
        <v>68067.73</v>
      </c>
      <c r="N168" s="404">
        <v>61480.53</v>
      </c>
      <c r="O168" s="404">
        <v>197615.99</v>
      </c>
      <c r="P168" s="162">
        <f t="shared" ref="P168:P169" si="52">+M168/$M$155</f>
        <v>0.35164807403877585</v>
      </c>
      <c r="Q168" s="404">
        <v>65872</v>
      </c>
      <c r="R168" s="404">
        <v>68067.73</v>
      </c>
      <c r="S168" s="404">
        <v>263487.99</v>
      </c>
      <c r="T168" s="162">
        <f t="shared" ref="T168:T169" si="53">+Q168/$Q$155</f>
        <v>0.35615469285388413</v>
      </c>
      <c r="U168" s="404">
        <v>68067.73</v>
      </c>
      <c r="V168" s="404">
        <v>65872</v>
      </c>
      <c r="W168" s="404">
        <v>331555.71999999997</v>
      </c>
      <c r="X168" s="162">
        <f t="shared" ref="X168:X169" si="54">+U168/$U$155</f>
        <v>0.35158577341584069</v>
      </c>
      <c r="Y168" s="404">
        <v>65872</v>
      </c>
      <c r="Z168" s="404">
        <v>68067.73</v>
      </c>
      <c r="AA168" s="404">
        <v>397427.72</v>
      </c>
      <c r="AB168" s="162">
        <f t="shared" ref="AB168:AB169" si="55">+Y168/$Y$155</f>
        <v>0.33469809999684974</v>
      </c>
      <c r="AC168" s="404">
        <v>68067.73</v>
      </c>
      <c r="AD168" s="404">
        <v>65872</v>
      </c>
      <c r="AE168" s="404">
        <v>465495.45</v>
      </c>
      <c r="AF168" s="162">
        <f t="shared" ref="AF168:AF169" si="56">+AC168/$AC$155</f>
        <v>0.33813932420748966</v>
      </c>
      <c r="AG168" s="404">
        <v>68067.73</v>
      </c>
      <c r="AH168" s="404">
        <v>68067.73</v>
      </c>
      <c r="AI168" s="404">
        <v>533563.18000000005</v>
      </c>
      <c r="AJ168" s="162">
        <f t="shared" ref="AJ168:AJ169" si="57">+AG168/$AG$155</f>
        <v>0.36056971172742963</v>
      </c>
    </row>
    <row r="169" spans="2:36" s="87" customFormat="1" ht="15" customHeight="1" thickBot="1">
      <c r="B169" s="300"/>
      <c r="C169" s="535" t="s">
        <v>352</v>
      </c>
      <c r="D169" s="541"/>
      <c r="E169" s="404">
        <v>1561.320000000007</v>
      </c>
      <c r="F169" s="404">
        <v>0</v>
      </c>
      <c r="G169" s="404">
        <v>1561.320000000007</v>
      </c>
      <c r="H169" s="162">
        <f t="shared" si="50"/>
        <v>7.5354522002510126E-3</v>
      </c>
      <c r="I169" s="404">
        <v>3669.510000000002</v>
      </c>
      <c r="J169" s="404">
        <v>0</v>
      </c>
      <c r="K169" s="404">
        <v>5230.8300000000017</v>
      </c>
      <c r="L169" s="162">
        <f t="shared" si="51"/>
        <v>1.8678085811661794E-2</v>
      </c>
      <c r="M169" s="404">
        <v>2098.5</v>
      </c>
      <c r="N169" s="404">
        <v>0</v>
      </c>
      <c r="O169" s="404">
        <v>7329.3299999999872</v>
      </c>
      <c r="P169" s="162">
        <f t="shared" si="52"/>
        <v>1.0841164871670778E-2</v>
      </c>
      <c r="Q169" s="404">
        <v>2341.5299999999988</v>
      </c>
      <c r="R169" s="404">
        <v>2300</v>
      </c>
      <c r="S169" s="404">
        <v>9670.859999999986</v>
      </c>
      <c r="T169" s="162">
        <f t="shared" si="53"/>
        <v>1.2660112004465552E-2</v>
      </c>
      <c r="U169" s="404">
        <v>1541.5299999999988</v>
      </c>
      <c r="V169" s="404">
        <v>0</v>
      </c>
      <c r="W169" s="404">
        <v>11212.390000000014</v>
      </c>
      <c r="X169" s="162">
        <f t="shared" si="54"/>
        <v>7.9623636236101965E-3</v>
      </c>
      <c r="Y169" s="404">
        <v>14649.14</v>
      </c>
      <c r="Z169" s="404">
        <v>9411</v>
      </c>
      <c r="AA169" s="404">
        <v>25861.530000000028</v>
      </c>
      <c r="AB169" s="162">
        <f t="shared" si="55"/>
        <v>7.4432829192795896E-2</v>
      </c>
      <c r="AC169" s="404">
        <v>1541.5299999999988</v>
      </c>
      <c r="AD169" s="404">
        <v>450</v>
      </c>
      <c r="AE169" s="404">
        <v>27403.060000000056</v>
      </c>
      <c r="AF169" s="162">
        <f t="shared" si="56"/>
        <v>7.6578418649420384E-3</v>
      </c>
      <c r="AG169" s="404">
        <v>8049.75</v>
      </c>
      <c r="AH169" s="404">
        <v>3650</v>
      </c>
      <c r="AI169" s="404">
        <v>35452.809999999939</v>
      </c>
      <c r="AJ169" s="162">
        <f t="shared" si="57"/>
        <v>4.2641293267424621E-2</v>
      </c>
    </row>
    <row r="170" spans="2:36" s="83" customFormat="1" ht="15" customHeight="1" thickTop="1" thickBot="1">
      <c r="B170" s="298"/>
      <c r="C170" s="544" t="s">
        <v>149</v>
      </c>
      <c r="D170" s="545"/>
      <c r="E170" s="409">
        <f t="shared" ref="E170:AJ170" si="58">+SUM(E168:E169)</f>
        <v>69629.05</v>
      </c>
      <c r="F170" s="409">
        <f t="shared" si="58"/>
        <v>68067.73</v>
      </c>
      <c r="G170" s="409">
        <f t="shared" si="58"/>
        <v>69629.05</v>
      </c>
      <c r="H170" s="163">
        <f t="shared" si="58"/>
        <v>0.33605306921315647</v>
      </c>
      <c r="I170" s="409">
        <f t="shared" si="58"/>
        <v>65150.04</v>
      </c>
      <c r="J170" s="409">
        <f t="shared" si="58"/>
        <v>68067.73</v>
      </c>
      <c r="K170" s="409">
        <f t="shared" si="58"/>
        <v>134779.09</v>
      </c>
      <c r="L170" s="163">
        <f t="shared" si="58"/>
        <v>0.33161867327059952</v>
      </c>
      <c r="M170" s="409">
        <f t="shared" si="58"/>
        <v>70166.23</v>
      </c>
      <c r="N170" s="409">
        <f t="shared" si="58"/>
        <v>61480.53</v>
      </c>
      <c r="O170" s="409">
        <f t="shared" si="58"/>
        <v>204945.31999999998</v>
      </c>
      <c r="P170" s="163">
        <f t="shared" si="58"/>
        <v>0.3624892389104466</v>
      </c>
      <c r="Q170" s="409">
        <f t="shared" si="58"/>
        <v>68213.53</v>
      </c>
      <c r="R170" s="409">
        <f t="shared" si="58"/>
        <v>70367.73</v>
      </c>
      <c r="S170" s="409">
        <f t="shared" si="58"/>
        <v>273158.84999999998</v>
      </c>
      <c r="T170" s="163">
        <f t="shared" si="58"/>
        <v>0.36881480485834967</v>
      </c>
      <c r="U170" s="409">
        <f t="shared" si="58"/>
        <v>69609.259999999995</v>
      </c>
      <c r="V170" s="409">
        <f t="shared" si="58"/>
        <v>65872</v>
      </c>
      <c r="W170" s="409">
        <f t="shared" si="58"/>
        <v>342768.11</v>
      </c>
      <c r="X170" s="163">
        <f t="shared" si="58"/>
        <v>0.35954813703945088</v>
      </c>
      <c r="Y170" s="409">
        <f t="shared" si="58"/>
        <v>80521.14</v>
      </c>
      <c r="Z170" s="409">
        <f t="shared" si="58"/>
        <v>77478.73</v>
      </c>
      <c r="AA170" s="409">
        <f t="shared" si="58"/>
        <v>423289.25</v>
      </c>
      <c r="AB170" s="163">
        <f t="shared" si="58"/>
        <v>0.40913092918964566</v>
      </c>
      <c r="AC170" s="409">
        <f t="shared" si="58"/>
        <v>69609.259999999995</v>
      </c>
      <c r="AD170" s="409">
        <f t="shared" si="58"/>
        <v>66322</v>
      </c>
      <c r="AE170" s="409">
        <f t="shared" si="58"/>
        <v>492898.51000000007</v>
      </c>
      <c r="AF170" s="163">
        <f t="shared" si="58"/>
        <v>0.34579716607243172</v>
      </c>
      <c r="AG170" s="409">
        <f t="shared" si="58"/>
        <v>76117.48</v>
      </c>
      <c r="AH170" s="409">
        <f t="shared" si="58"/>
        <v>71717.73</v>
      </c>
      <c r="AI170" s="409">
        <f t="shared" si="58"/>
        <v>569015.99</v>
      </c>
      <c r="AJ170" s="163">
        <f t="shared" si="58"/>
        <v>0.40321100499485424</v>
      </c>
    </row>
    <row r="171" spans="2:36" s="83" customFormat="1" ht="15" customHeight="1" thickTop="1" thickBot="1">
      <c r="B171" s="298"/>
      <c r="C171" s="544" t="s">
        <v>134</v>
      </c>
      <c r="D171" s="545"/>
      <c r="E171" s="409">
        <f t="shared" ref="E171:AJ171" si="59">+E167-E170</f>
        <v>84700.23</v>
      </c>
      <c r="F171" s="409">
        <f t="shared" si="59"/>
        <v>72430.62999999999</v>
      </c>
      <c r="G171" s="409">
        <f t="shared" si="59"/>
        <v>84700.23</v>
      </c>
      <c r="H171" s="163">
        <f t="shared" si="59"/>
        <v>0.40879162152234283</v>
      </c>
      <c r="I171" s="409">
        <f t="shared" si="59"/>
        <v>81161.189999999973</v>
      </c>
      <c r="J171" s="409">
        <f t="shared" si="59"/>
        <v>76573.62999999999</v>
      </c>
      <c r="K171" s="409">
        <f t="shared" si="59"/>
        <v>165861.42000000001</v>
      </c>
      <c r="L171" s="163">
        <f t="shared" si="59"/>
        <v>0.41311664810740018</v>
      </c>
      <c r="M171" s="409">
        <f t="shared" si="59"/>
        <v>75000.85000000002</v>
      </c>
      <c r="N171" s="409">
        <f t="shared" si="59"/>
        <v>81577.829999999987</v>
      </c>
      <c r="O171" s="409">
        <f t="shared" si="59"/>
        <v>240862.27</v>
      </c>
      <c r="P171" s="163">
        <f t="shared" si="59"/>
        <v>0.38746560894231585</v>
      </c>
      <c r="Q171" s="409">
        <f t="shared" si="59"/>
        <v>67412.959999999992</v>
      </c>
      <c r="R171" s="409">
        <f t="shared" si="59"/>
        <v>66164.62999999999</v>
      </c>
      <c r="S171" s="409">
        <f t="shared" si="59"/>
        <v>308275.2300000001</v>
      </c>
      <c r="T171" s="163">
        <f t="shared" si="59"/>
        <v>0.36448630773577811</v>
      </c>
      <c r="U171" s="409">
        <f t="shared" si="59"/>
        <v>68657.400000000009</v>
      </c>
      <c r="V171" s="409">
        <f t="shared" si="59"/>
        <v>66411.359999999986</v>
      </c>
      <c r="W171" s="409">
        <f t="shared" si="59"/>
        <v>376932.63000000012</v>
      </c>
      <c r="X171" s="163">
        <f t="shared" si="59"/>
        <v>0.35463155712289429</v>
      </c>
      <c r="Y171" s="409">
        <f t="shared" si="59"/>
        <v>68959.500000000015</v>
      </c>
      <c r="Z171" s="409">
        <f t="shared" si="59"/>
        <v>57515.62999999999</v>
      </c>
      <c r="AA171" s="409">
        <f t="shared" si="59"/>
        <v>445892.13000000012</v>
      </c>
      <c r="AB171" s="163">
        <f t="shared" si="59"/>
        <v>0.35038580317483548</v>
      </c>
      <c r="AC171" s="409">
        <f t="shared" si="59"/>
        <v>71378.589999999982</v>
      </c>
      <c r="AD171" s="409">
        <f t="shared" si="59"/>
        <v>69595.72</v>
      </c>
      <c r="AE171" s="409">
        <f t="shared" si="59"/>
        <v>517270.71999999991</v>
      </c>
      <c r="AF171" s="163">
        <f t="shared" si="59"/>
        <v>0.35458664752715385</v>
      </c>
      <c r="AG171" s="409">
        <f t="shared" si="59"/>
        <v>60968.67</v>
      </c>
      <c r="AH171" s="409">
        <f t="shared" si="59"/>
        <v>76684.990000000005</v>
      </c>
      <c r="AI171" s="409">
        <f t="shared" si="59"/>
        <v>578239.39000000036</v>
      </c>
      <c r="AJ171" s="163">
        <f t="shared" si="59"/>
        <v>0.32296443213700227</v>
      </c>
    </row>
    <row r="172" spans="2:36" ht="4.5" customHeight="1" thickTop="1" thickBot="1"/>
    <row r="173" spans="2:36" ht="14.25" thickTop="1" thickBot="1">
      <c r="B173" s="513" t="s">
        <v>282</v>
      </c>
      <c r="C173" s="561" t="s">
        <v>216</v>
      </c>
      <c r="D173" s="562"/>
      <c r="E173" s="515" t="s">
        <v>44</v>
      </c>
      <c r="F173" s="516"/>
      <c r="G173" s="516"/>
      <c r="H173" s="517"/>
      <c r="I173" s="515" t="s">
        <v>45</v>
      </c>
      <c r="J173" s="516"/>
      <c r="K173" s="516"/>
      <c r="L173" s="517"/>
      <c r="M173" s="515" t="s">
        <v>46</v>
      </c>
      <c r="N173" s="516"/>
      <c r="O173" s="516"/>
      <c r="P173" s="517"/>
      <c r="Q173" s="515" t="s">
        <v>47</v>
      </c>
      <c r="R173" s="516"/>
      <c r="S173" s="516"/>
      <c r="T173" s="517"/>
      <c r="U173" s="515" t="s">
        <v>48</v>
      </c>
      <c r="V173" s="516"/>
      <c r="W173" s="516"/>
      <c r="X173" s="517"/>
      <c r="Y173" s="515" t="s">
        <v>49</v>
      </c>
      <c r="Z173" s="516"/>
      <c r="AA173" s="516"/>
      <c r="AB173" s="517"/>
      <c r="AC173" s="515" t="s">
        <v>50</v>
      </c>
      <c r="AD173" s="516"/>
      <c r="AE173" s="516"/>
      <c r="AF173" s="517"/>
      <c r="AG173" s="515" t="s">
        <v>51</v>
      </c>
      <c r="AH173" s="516"/>
      <c r="AI173" s="516"/>
      <c r="AJ173" s="517"/>
    </row>
    <row r="174" spans="2:36" ht="14.25" thickTop="1" thickBot="1">
      <c r="B174" s="514"/>
      <c r="C174" s="563"/>
      <c r="D174" s="564"/>
      <c r="E174" s="567" t="s">
        <v>44</v>
      </c>
      <c r="F174" s="568"/>
      <c r="G174" s="565" t="s">
        <v>304</v>
      </c>
      <c r="H174" s="566"/>
      <c r="I174" s="567" t="s">
        <v>45</v>
      </c>
      <c r="J174" s="568"/>
      <c r="K174" s="565" t="s">
        <v>307</v>
      </c>
      <c r="L174" s="566"/>
      <c r="M174" s="567" t="s">
        <v>46</v>
      </c>
      <c r="N174" s="568"/>
      <c r="O174" s="565" t="s">
        <v>309</v>
      </c>
      <c r="P174" s="566"/>
      <c r="Q174" s="567" t="s">
        <v>47</v>
      </c>
      <c r="R174" s="568"/>
      <c r="S174" s="565" t="s">
        <v>311</v>
      </c>
      <c r="T174" s="566"/>
      <c r="U174" s="567" t="s">
        <v>48</v>
      </c>
      <c r="V174" s="568"/>
      <c r="W174" s="565" t="s">
        <v>313</v>
      </c>
      <c r="X174" s="566"/>
      <c r="Y174" s="567" t="s">
        <v>49</v>
      </c>
      <c r="Z174" s="568"/>
      <c r="AA174" s="565" t="s">
        <v>315</v>
      </c>
      <c r="AB174" s="566"/>
      <c r="AC174" s="567" t="s">
        <v>50</v>
      </c>
      <c r="AD174" s="568"/>
      <c r="AE174" s="565" t="s">
        <v>317</v>
      </c>
      <c r="AF174" s="566"/>
      <c r="AG174" s="567" t="s">
        <v>51</v>
      </c>
      <c r="AH174" s="568"/>
      <c r="AI174" s="565" t="s">
        <v>319</v>
      </c>
      <c r="AJ174" s="566"/>
    </row>
    <row r="175" spans="2:36" ht="14.25" thickTop="1" thickBot="1">
      <c r="C175" s="542" t="s">
        <v>146</v>
      </c>
      <c r="D175" s="543"/>
      <c r="E175" s="204" t="s">
        <v>320</v>
      </c>
      <c r="F175" s="205" t="s">
        <v>321</v>
      </c>
      <c r="G175" s="206" t="s">
        <v>322</v>
      </c>
      <c r="H175" s="207" t="s">
        <v>323</v>
      </c>
      <c r="I175" s="204" t="s">
        <v>324</v>
      </c>
      <c r="J175" s="205" t="s">
        <v>325</v>
      </c>
      <c r="K175" s="206" t="s">
        <v>326</v>
      </c>
      <c r="L175" s="207" t="s">
        <v>327</v>
      </c>
      <c r="M175" s="204" t="s">
        <v>328</v>
      </c>
      <c r="N175" s="205" t="s">
        <v>329</v>
      </c>
      <c r="O175" s="206" t="s">
        <v>330</v>
      </c>
      <c r="P175" s="207" t="s">
        <v>331</v>
      </c>
      <c r="Q175" s="204" t="s">
        <v>332</v>
      </c>
      <c r="R175" s="205" t="s">
        <v>333</v>
      </c>
      <c r="S175" s="206" t="s">
        <v>334</v>
      </c>
      <c r="T175" s="207" t="s">
        <v>335</v>
      </c>
      <c r="U175" s="204" t="s">
        <v>336</v>
      </c>
      <c r="V175" s="205" t="s">
        <v>337</v>
      </c>
      <c r="W175" s="206" t="s">
        <v>338</v>
      </c>
      <c r="X175" s="207" t="s">
        <v>339</v>
      </c>
      <c r="Y175" s="204" t="s">
        <v>340</v>
      </c>
      <c r="Z175" s="205" t="s">
        <v>341</v>
      </c>
      <c r="AA175" s="206" t="s">
        <v>342</v>
      </c>
      <c r="AB175" s="207" t="s">
        <v>343</v>
      </c>
      <c r="AC175" s="204" t="s">
        <v>344</v>
      </c>
      <c r="AD175" s="205" t="s">
        <v>345</v>
      </c>
      <c r="AE175" s="206" t="s">
        <v>346</v>
      </c>
      <c r="AF175" s="207" t="s">
        <v>347</v>
      </c>
      <c r="AG175" s="204" t="s">
        <v>348</v>
      </c>
      <c r="AH175" s="205" t="s">
        <v>349</v>
      </c>
      <c r="AI175" s="206" t="s">
        <v>350</v>
      </c>
      <c r="AJ175" s="207" t="s">
        <v>351</v>
      </c>
    </row>
    <row r="176" spans="2:36">
      <c r="C176" s="524" t="s">
        <v>203</v>
      </c>
      <c r="D176" s="525"/>
      <c r="E176" s="411">
        <f>+E151/'Key Dashboards-July 2017'!$N$33</f>
        <v>4.6749999999999998</v>
      </c>
      <c r="F176" s="419">
        <f>+E151/'Key Dashboards-July 2017'!$N$26</f>
        <v>5843.75</v>
      </c>
      <c r="G176" s="414">
        <f>+G151/'Key Dashboards-July 2017'!$N$33</f>
        <v>4.6749999999999998</v>
      </c>
      <c r="H176" s="423">
        <f>+G151/'Key Dashboards-July 2017'!$N$26</f>
        <v>5843.75</v>
      </c>
      <c r="I176" s="411">
        <f>+I151/'Key Dashboards-July 2017'!$N$33</f>
        <v>4.6749999999999998</v>
      </c>
      <c r="J176" s="419">
        <f>+I151/'Key Dashboards-July 2017'!$N$26</f>
        <v>5843.75</v>
      </c>
      <c r="K176" s="414">
        <f>+K151/'Key Dashboards-July 2017'!$N$33</f>
        <v>9.35</v>
      </c>
      <c r="L176" s="423">
        <f>+K151/'Key Dashboards-July 2017'!$N$26</f>
        <v>11687.5</v>
      </c>
      <c r="M176" s="411">
        <f>+M151/'Key Dashboards-July 2017'!$N$33</f>
        <v>4.6749999999999998</v>
      </c>
      <c r="N176" s="419">
        <f>+M151/'Key Dashboards-July 2017'!$N$26</f>
        <v>5843.75</v>
      </c>
      <c r="O176" s="414">
        <f>+O151/'Key Dashboards-July 2017'!$N$33</f>
        <v>14.025</v>
      </c>
      <c r="P176" s="423">
        <f>+O151/'Key Dashboards-July 2017'!$N$26</f>
        <v>17531.25</v>
      </c>
      <c r="Q176" s="411">
        <f>+Q151/'Key Dashboards-July 2017'!$N$33</f>
        <v>4.6749999999999998</v>
      </c>
      <c r="R176" s="419">
        <f>+Q151/'Key Dashboards-July 2017'!$N$26</f>
        <v>5843.75</v>
      </c>
      <c r="S176" s="414">
        <f>+S151/'Key Dashboards-July 2017'!$N$33</f>
        <v>18.7</v>
      </c>
      <c r="T176" s="423">
        <f>+S151/'Key Dashboards-July 2017'!$N$26</f>
        <v>23375</v>
      </c>
      <c r="U176" s="411">
        <f>+U151/'Key Dashboards-July 2017'!$N$33</f>
        <v>4.6749999999999998</v>
      </c>
      <c r="V176" s="419">
        <f>+U151/'Key Dashboards-July 2017'!$N$26</f>
        <v>5843.75</v>
      </c>
      <c r="W176" s="414">
        <f>+W151/'Key Dashboards-July 2017'!$N$33</f>
        <v>23.375</v>
      </c>
      <c r="X176" s="423">
        <f>+W151/'Key Dashboards-July 2017'!$N$26</f>
        <v>29218.75</v>
      </c>
      <c r="Y176" s="411">
        <f>+Y151/'Key Dashboards-July 2017'!$N$33</f>
        <v>4.71</v>
      </c>
      <c r="Z176" s="419">
        <f>+Y151/'Key Dashboards-July 2017'!$N$26</f>
        <v>5887.5</v>
      </c>
      <c r="AA176" s="414">
        <f>+AA151/'Key Dashboards-July 2017'!$N$33</f>
        <v>28.085000000000001</v>
      </c>
      <c r="AB176" s="423">
        <f>+AA151/'Key Dashboards-July 2017'!$N$26</f>
        <v>35106.25</v>
      </c>
      <c r="AC176" s="411">
        <f>+AC151/'Key Dashboards-July 2017'!$N$33</f>
        <v>4.75</v>
      </c>
      <c r="AD176" s="419">
        <f>+AC151/'Key Dashboards-July 2017'!$N$26</f>
        <v>5937.5</v>
      </c>
      <c r="AE176" s="414">
        <f>+AE151/'Key Dashboards-July 2017'!$N$33</f>
        <v>32.835000000000001</v>
      </c>
      <c r="AF176" s="423">
        <f>+AE151/'Key Dashboards-July 2017'!$N$26</f>
        <v>41043.75</v>
      </c>
      <c r="AG176" s="411">
        <f>+AG151/'Key Dashboards-July 2017'!$N$33</f>
        <v>4.75</v>
      </c>
      <c r="AH176" s="419">
        <f>+AG151/'Key Dashboards-July 2017'!$N$26</f>
        <v>5937.5</v>
      </c>
      <c r="AI176" s="414">
        <f>+AI151/'Key Dashboards-July 2017'!$N$33</f>
        <v>37.585000000000001</v>
      </c>
      <c r="AJ176" s="423">
        <f>+AI151/'Key Dashboards-July 2017'!$N$26</f>
        <v>46981.25</v>
      </c>
    </row>
    <row r="177" spans="3:40">
      <c r="C177" s="524" t="s">
        <v>144</v>
      </c>
      <c r="D177" s="525"/>
      <c r="E177" s="411">
        <f>+E152/'Key Dashboards-July 2017'!$N$36</f>
        <v>4.5799027894040449</v>
      </c>
      <c r="F177" s="420">
        <f>+F152/'Key Dashboards-July 2017'!$N$29</f>
        <v>3697.84</v>
      </c>
      <c r="G177" s="414">
        <f>+G152/'Key Dashboards-July 2017'!$N$36</f>
        <v>4.5799027894040449</v>
      </c>
      <c r="H177" s="423">
        <f>+G152/'Key Dashboards-July 2017'!$N$29</f>
        <v>3392.1508000000003</v>
      </c>
      <c r="I177" s="411">
        <f>+I152/'Key Dashboards-July 2017'!$N$36</f>
        <v>4.614339643021089</v>
      </c>
      <c r="J177" s="419">
        <f>+I152/'Key Dashboards-July 2017'!$N$29</f>
        <v>3417.6567999999997</v>
      </c>
      <c r="K177" s="414">
        <f>+K152/'Key Dashboards-July 2017'!$N$36</f>
        <v>9.1942424324251348</v>
      </c>
      <c r="L177" s="423">
        <f>+K152/'Key Dashboards-July 2017'!$N$29</f>
        <v>6809.8076000000001</v>
      </c>
      <c r="M177" s="418">
        <f>+M152/'Key Dashboards-July 2017'!$N$36</f>
        <v>4.5027081251856451</v>
      </c>
      <c r="N177" s="419">
        <f>+M152/'Key Dashboards-July 2017'!$N$29</f>
        <v>3334.9758000000002</v>
      </c>
      <c r="O177" s="414">
        <f>+O152/'Key Dashboards-July 2017'!$N$36</f>
        <v>13.69695055761078</v>
      </c>
      <c r="P177" s="423">
        <f>+O152/'Key Dashboards-July 2017'!$N$29</f>
        <v>10144.7834</v>
      </c>
      <c r="Q177" s="418">
        <f>+Q152/'Key Dashboards-July 2017'!$N$36</f>
        <v>4.118412766991602</v>
      </c>
      <c r="R177" s="419">
        <f>+Q152/'Key Dashboards-July 2017'!$N$29</f>
        <v>3050.3435999999997</v>
      </c>
      <c r="S177" s="414">
        <f>+S152/'Key Dashboards-July 2017'!$N$36</f>
        <v>17.81536332460238</v>
      </c>
      <c r="T177" s="423">
        <f>+S152/'Key Dashboards-July 2017'!$N$29</f>
        <v>13195.127</v>
      </c>
      <c r="U177" s="418">
        <f>+U152/'Key Dashboards-July 2017'!$N$36</f>
        <v>4.625383036751006</v>
      </c>
      <c r="V177" s="419">
        <f>+U152/'Key Dashboards-July 2017'!$N$29</f>
        <v>3425.8361999999997</v>
      </c>
      <c r="W177" s="414">
        <f>+W152/'Key Dashboards-July 2017'!$N$36</f>
        <v>22.440746361353387</v>
      </c>
      <c r="X177" s="423">
        <f>+W152/'Key Dashboards-July 2017'!$N$29</f>
        <v>16620.963200000002</v>
      </c>
      <c r="Y177" s="418">
        <f>+Y152/'Key Dashboards-July 2017'!$N$36</f>
        <v>4.7060983447195746</v>
      </c>
      <c r="Z177" s="419">
        <f>+Y152/'Key Dashboards-July 2017'!$N$29</f>
        <v>3485.6188000000002</v>
      </c>
      <c r="AA177" s="414">
        <f>+AA152/'Key Dashboards-July 2017'!$N$36</f>
        <v>27.146844706072962</v>
      </c>
      <c r="AB177" s="423">
        <f>+AA152/'Key Dashboards-July 2017'!$N$29</f>
        <v>20106.581999999999</v>
      </c>
      <c r="AC177" s="418">
        <f>+AC152/'Key Dashboards-July 2017'!$N$36</f>
        <v>4.6687108794858636</v>
      </c>
      <c r="AD177" s="419">
        <f>+AC152/'Key Dashboards-July 2017'!$N$29</f>
        <v>3457.9274</v>
      </c>
      <c r="AE177" s="414">
        <f>+AE152/'Key Dashboards-July 2017'!$N$36</f>
        <v>31.815555585558826</v>
      </c>
      <c r="AF177" s="423">
        <f>+AE152/'Key Dashboards-July 2017'!$N$29</f>
        <v>23564.509399999999</v>
      </c>
      <c r="AG177" s="418">
        <f>+AG152/'Key Dashboards-July 2017'!$N$36</f>
        <v>4.2782215861528909</v>
      </c>
      <c r="AH177" s="419">
        <f>+AG152/'Key Dashboards-July 2017'!$N$29</f>
        <v>3168.7076000000002</v>
      </c>
      <c r="AI177" s="414">
        <f>+AI152/'Key Dashboards-July 2017'!$N$36</f>
        <v>36.093777171711722</v>
      </c>
      <c r="AJ177" s="423">
        <f>+AI152/'Key Dashboards-July 2017'!$N$29</f>
        <v>26733.217000000001</v>
      </c>
    </row>
    <row r="178" spans="3:40">
      <c r="C178" s="524" t="s">
        <v>145</v>
      </c>
      <c r="D178" s="525"/>
      <c r="E178" s="411">
        <f>+E153/'Key Dashboards-July 2017'!$N$36</f>
        <v>0.54680177139308184</v>
      </c>
      <c r="F178" s="419">
        <f>+E153/'Key Dashboards-July 2017'!$N$29</f>
        <v>404.99419999999998</v>
      </c>
      <c r="G178" s="414">
        <f>+G153/'Key Dashboards-July 2017'!$N$36</f>
        <v>0.54680177139308184</v>
      </c>
      <c r="H178" s="423">
        <f>+G153/'Key Dashboards-July 2017'!$N$29</f>
        <v>404.99419999999998</v>
      </c>
      <c r="I178" s="411">
        <f>+I153/'Key Dashboards-July 2017'!$N$36</f>
        <v>0.52635622282828831</v>
      </c>
      <c r="J178" s="419">
        <f>+I153/'Key Dashboards-July 2017'!$N$29</f>
        <v>389.851</v>
      </c>
      <c r="K178" s="414">
        <f>+K153/'Key Dashboards-July 2017'!$N$36</f>
        <v>1.0731579942213703</v>
      </c>
      <c r="L178" s="423">
        <f>+K153/'Key Dashboards-July 2017'!$N$29</f>
        <v>794.84520000000009</v>
      </c>
      <c r="M178" s="418">
        <f>+M153/'Key Dashboards-July 2017'!$N$36</f>
        <v>0.42013528474603734</v>
      </c>
      <c r="N178" s="419">
        <f>+M153/'Key Dashboards-July 2017'!$N$29</f>
        <v>311.17740000000003</v>
      </c>
      <c r="O178" s="414">
        <f>+O153/'Key Dashboards-July 2017'!$N$36</f>
        <v>1.4932932789674074</v>
      </c>
      <c r="P178" s="423">
        <f>+O153/'Key Dashboards-July 2017'!$N$29</f>
        <v>1106.0226</v>
      </c>
      <c r="Q178" s="418">
        <f>+Q153/'Key Dashboards-July 2017'!$N$36</f>
        <v>0.43563848459482085</v>
      </c>
      <c r="R178" s="419">
        <f>+Q153/'Key Dashboards-July 2017'!$N$29</f>
        <v>322.66000000000003</v>
      </c>
      <c r="S178" s="414">
        <f>+S153/'Key Dashboards-July 2017'!$N$36</f>
        <v>1.9289317635622285</v>
      </c>
      <c r="T178" s="423">
        <f>+S153/'Key Dashboards-July 2017'!$N$29</f>
        <v>1428.6826000000001</v>
      </c>
      <c r="U178" s="418">
        <f>+U153/'Key Dashboards-July 2017'!$N$36</f>
        <v>0.309586314908325</v>
      </c>
      <c r="V178" s="419">
        <f>+U153/'Key Dashboards-July 2017'!$N$29</f>
        <v>229.29820000000001</v>
      </c>
      <c r="W178" s="414">
        <f>+W153/'Key Dashboards-July 2017'!$N$36</f>
        <v>2.2385180784705532</v>
      </c>
      <c r="X178" s="423">
        <f>+W153/'Key Dashboards-July 2017'!$N$29</f>
        <v>1657.9807999999998</v>
      </c>
      <c r="Y178" s="418">
        <f>+Y153/'Key Dashboards-July 2017'!$N$36</f>
        <v>0.36524613182836929</v>
      </c>
      <c r="Z178" s="419">
        <f>+Y153/'Key Dashboards-July 2017'!$N$29</f>
        <v>270.52319999999997</v>
      </c>
      <c r="AA178" s="414">
        <f>+AA153/'Key Dashboards-July 2017'!$N$36</f>
        <v>2.6037642102989227</v>
      </c>
      <c r="AB178" s="423">
        <f>+AA153/'Key Dashboards-July 2017'!$N$29</f>
        <v>1928.5039999999999</v>
      </c>
      <c r="AC178" s="418">
        <f>+AC153/'Key Dashboards-July 2017'!$N$36</f>
        <v>0.3507817352091378</v>
      </c>
      <c r="AD178" s="419">
        <f>+AC153/'Key Dashboards-July 2017'!$N$29</f>
        <v>259.81</v>
      </c>
      <c r="AE178" s="414">
        <f>+AE153/'Key Dashboards-July 2017'!$N$36</f>
        <v>2.9545459455080603</v>
      </c>
      <c r="AF178" s="423">
        <f>+AE153/'Key Dashboards-July 2017'!$N$29</f>
        <v>2188.3139999999999</v>
      </c>
      <c r="AG178" s="418">
        <f>+AG153/'Key Dashboards-July 2017'!$N$36</f>
        <v>0.38447222747279453</v>
      </c>
      <c r="AH178" s="419">
        <f>+AG153/'Key Dashboards-July 2017'!$N$29</f>
        <v>284.76319999999998</v>
      </c>
      <c r="AI178" s="414">
        <f>+AI153/'Key Dashboards-July 2017'!$N$36</f>
        <v>3.3390181729808548</v>
      </c>
      <c r="AJ178" s="423">
        <f>+AI153/'Key Dashboards-July 2017'!$N$29</f>
        <v>2473.0772000000002</v>
      </c>
    </row>
    <row r="179" spans="3:40" ht="13.5" thickBot="1">
      <c r="C179" s="558" t="s">
        <v>432</v>
      </c>
      <c r="D179" s="560"/>
      <c r="E179" s="411">
        <f>+E154/'Key Dashboards-July 2017'!$N$36</f>
        <v>0.15261631517835444</v>
      </c>
      <c r="F179" s="419">
        <f>+E154/'Key Dashboards-July 2017'!$N$29</f>
        <v>113.0368</v>
      </c>
      <c r="G179" s="414">
        <f>+G154/'Key Dashboards-July 2017'!$N$36</f>
        <v>0.15261631517835444</v>
      </c>
      <c r="H179" s="423">
        <f>+G154/'Key Dashboards-July 2017'!$N$29</f>
        <v>113.0368</v>
      </c>
      <c r="I179" s="411">
        <f>+I154/'Key Dashboards-July 2017'!$N$36</f>
        <v>-0.15127534901304243</v>
      </c>
      <c r="J179" s="419">
        <f>+I154/'Key Dashboards-July 2017'!$N$29</f>
        <v>-112.04360000000001</v>
      </c>
      <c r="K179" s="414">
        <f>+K154/'Key Dashboards-July 2017'!$N$36</f>
        <v>1.340966165312015E-3</v>
      </c>
      <c r="L179" s="423">
        <f>+K154/'Key Dashboards-July 2017'!$N$29</f>
        <v>0.99319999999999709</v>
      </c>
      <c r="M179" s="418">
        <f>+M154/'Key Dashboards-July 2017'!$N$36</f>
        <v>-1.1541057975319312E-2</v>
      </c>
      <c r="N179" s="419">
        <f>+M154/'Key Dashboards-July 2017'!$N$29</f>
        <v>-8.5480000000000018</v>
      </c>
      <c r="O179" s="414">
        <f>+O154/'Key Dashboards-July 2017'!$N$36</f>
        <v>-1.0200091810007285E-2</v>
      </c>
      <c r="P179" s="423">
        <f>+O154/'Key Dashboards-July 2017'!$N$29</f>
        <v>-7.5547999999999957</v>
      </c>
      <c r="Q179" s="418">
        <f>+Q154/'Key Dashboards-July 2017'!$N$36</f>
        <v>0.12463640536818513</v>
      </c>
      <c r="R179" s="419">
        <f>+Q154/'Key Dashboards-July 2017'!$N$29</f>
        <v>92.313199999999995</v>
      </c>
      <c r="S179" s="414">
        <f>+S154/'Key Dashboards-July 2017'!$N$36</f>
        <v>0.11443631355817779</v>
      </c>
      <c r="T179" s="423">
        <f>+S154/'Key Dashboards-July 2017'!$N$29</f>
        <v>84.758399999999966</v>
      </c>
      <c r="U179" s="418">
        <f>+U154/'Key Dashboards-July 2017'!$N$36</f>
        <v>-2.2740798747063425E-2</v>
      </c>
      <c r="V179" s="419">
        <f>+U154/'Key Dashboards-July 2017'!$N$29</f>
        <v>-16.843199999999996</v>
      </c>
      <c r="W179" s="414">
        <f>+W154/'Key Dashboards-July 2017'!$N$36</f>
        <v>9.1695514811114362E-2</v>
      </c>
      <c r="X179" s="423">
        <f>+W154/'Key Dashboards-July 2017'!$N$29</f>
        <v>67.91519999999997</v>
      </c>
      <c r="Y179" s="418">
        <f>+Y154/'Key Dashboards-July 2017'!$N$36</f>
        <v>-7.4849458590986406E-2</v>
      </c>
      <c r="Z179" s="419">
        <f>+Y154/'Key Dashboards-July 2017'!$N$29</f>
        <v>-55.437999999999995</v>
      </c>
      <c r="AA179" s="414">
        <f>+AA154/'Key Dashboards-July 2017'!$N$36</f>
        <v>1.6846056220128011E-2</v>
      </c>
      <c r="AB179" s="423">
        <f>+AA154/'Key Dashboards-July 2017'!$N$29</f>
        <v>12.477200000000012</v>
      </c>
      <c r="AC179" s="418">
        <f>+AC154/'Key Dashboards-July 2017'!$N$36</f>
        <v>9.5562606324089333E-2</v>
      </c>
      <c r="AD179" s="419">
        <f>+AC154/'Key Dashboards-July 2017'!$N$29</f>
        <v>70.77940000000001</v>
      </c>
      <c r="AE179" s="414">
        <f>+AE154/'Key Dashboards-July 2017'!$N$36</f>
        <v>0.11240866254421737</v>
      </c>
      <c r="AF179" s="423">
        <f>+AE154/'Key Dashboards-July 2017'!$N$29</f>
        <v>83.256600000000034</v>
      </c>
      <c r="AG179" s="418">
        <f>+AG154/'Key Dashboards-July 2017'!$N$36</f>
        <v>0.11421542948181351</v>
      </c>
      <c r="AH179" s="419">
        <f>+AG154/'Key Dashboards-July 2017'!$N$29</f>
        <v>84.594799999999992</v>
      </c>
      <c r="AI179" s="414">
        <f>+AI154/'Key Dashboards-July 2017'!$N$36</f>
        <v>0.22662409202603087</v>
      </c>
      <c r="AJ179" s="423">
        <f>+AI154/'Key Dashboards-July 2017'!$N$29</f>
        <v>167.85140000000004</v>
      </c>
    </row>
    <row r="180" spans="3:40" ht="14.25" thickTop="1" thickBot="1">
      <c r="C180" s="548" t="s">
        <v>30</v>
      </c>
      <c r="D180" s="549"/>
      <c r="E180" s="412">
        <f t="shared" ref="E180:AJ180" si="60">SUM(E176:E179)</f>
        <v>9.9543208759754815</v>
      </c>
      <c r="F180" s="421">
        <f t="shared" si="60"/>
        <v>10059.620999999999</v>
      </c>
      <c r="G180" s="415">
        <f t="shared" si="60"/>
        <v>9.9543208759754815</v>
      </c>
      <c r="H180" s="421">
        <f t="shared" si="60"/>
        <v>9753.9317999999985</v>
      </c>
      <c r="I180" s="412">
        <f t="shared" si="60"/>
        <v>9.6644205168363353</v>
      </c>
      <c r="J180" s="421">
        <f t="shared" si="60"/>
        <v>9539.2142000000003</v>
      </c>
      <c r="K180" s="415">
        <f t="shared" si="60"/>
        <v>19.618741392811817</v>
      </c>
      <c r="L180" s="421">
        <f t="shared" si="60"/>
        <v>19293.146000000001</v>
      </c>
      <c r="M180" s="412">
        <f t="shared" si="60"/>
        <v>9.5863023519563626</v>
      </c>
      <c r="N180" s="421">
        <f t="shared" si="60"/>
        <v>9481.3552</v>
      </c>
      <c r="O180" s="415">
        <f t="shared" si="60"/>
        <v>29.205043744768183</v>
      </c>
      <c r="P180" s="421">
        <f t="shared" si="60"/>
        <v>28774.501199999999</v>
      </c>
      <c r="Q180" s="412">
        <f t="shared" si="60"/>
        <v>9.353687656954607</v>
      </c>
      <c r="R180" s="421">
        <f t="shared" si="60"/>
        <v>9309.0668000000005</v>
      </c>
      <c r="S180" s="415">
        <f t="shared" si="60"/>
        <v>38.558731401722781</v>
      </c>
      <c r="T180" s="421">
        <f t="shared" si="60"/>
        <v>38083.567999999999</v>
      </c>
      <c r="U180" s="412">
        <f t="shared" si="60"/>
        <v>9.5872285529122667</v>
      </c>
      <c r="V180" s="421">
        <f t="shared" si="60"/>
        <v>9482.0411999999997</v>
      </c>
      <c r="W180" s="415">
        <f t="shared" si="60"/>
        <v>48.14595995463506</v>
      </c>
      <c r="X180" s="421">
        <f t="shared" si="60"/>
        <v>47565.609199999999</v>
      </c>
      <c r="Y180" s="412">
        <f t="shared" si="60"/>
        <v>9.7064950179569589</v>
      </c>
      <c r="Z180" s="421">
        <f t="shared" si="60"/>
        <v>9588.2039999999997</v>
      </c>
      <c r="AA180" s="415">
        <f t="shared" si="60"/>
        <v>57.852454972592007</v>
      </c>
      <c r="AB180" s="421">
        <f t="shared" si="60"/>
        <v>57153.813199999997</v>
      </c>
      <c r="AC180" s="412">
        <f t="shared" si="60"/>
        <v>9.8650552210190909</v>
      </c>
      <c r="AD180" s="421">
        <f t="shared" si="60"/>
        <v>9726.0167999999994</v>
      </c>
      <c r="AE180" s="415">
        <f t="shared" si="60"/>
        <v>67.717510193611105</v>
      </c>
      <c r="AF180" s="421">
        <f t="shared" si="60"/>
        <v>66879.829999999987</v>
      </c>
      <c r="AG180" s="412">
        <f t="shared" si="60"/>
        <v>9.5269092431075002</v>
      </c>
      <c r="AH180" s="421">
        <f t="shared" si="60"/>
        <v>9475.5655999999999</v>
      </c>
      <c r="AI180" s="415">
        <f t="shared" si="60"/>
        <v>77.244419436718601</v>
      </c>
      <c r="AJ180" s="421">
        <f t="shared" si="60"/>
        <v>76355.395600000003</v>
      </c>
      <c r="AK180" s="203"/>
    </row>
    <row r="181" spans="3:40" ht="24" customHeight="1" thickTop="1" thickBot="1">
      <c r="C181" s="554" t="s">
        <v>147</v>
      </c>
      <c r="D181" s="555"/>
      <c r="E181" s="413"/>
      <c r="F181" s="422"/>
      <c r="G181" s="416"/>
      <c r="H181" s="422"/>
      <c r="I181" s="416"/>
      <c r="J181" s="422"/>
      <c r="K181" s="416"/>
      <c r="L181" s="422"/>
      <c r="M181" s="416"/>
      <c r="N181" s="422"/>
      <c r="O181" s="416"/>
      <c r="P181" s="422"/>
      <c r="Q181" s="416"/>
      <c r="R181" s="422"/>
      <c r="S181" s="416"/>
      <c r="T181" s="422"/>
      <c r="U181" s="416"/>
      <c r="V181" s="422"/>
      <c r="W181" s="416"/>
      <c r="X181" s="422"/>
      <c r="Y181" s="416"/>
      <c r="Z181" s="422"/>
      <c r="AA181" s="416"/>
      <c r="AB181" s="422"/>
      <c r="AC181" s="416"/>
      <c r="AD181" s="422"/>
      <c r="AE181" s="416"/>
      <c r="AF181" s="422"/>
      <c r="AG181" s="416"/>
      <c r="AH181" s="422"/>
      <c r="AI181" s="416"/>
      <c r="AJ181" s="426"/>
      <c r="AK181" s="91"/>
      <c r="AL181" s="91"/>
      <c r="AM181" s="91"/>
      <c r="AN181" s="91"/>
    </row>
    <row r="182" spans="3:40">
      <c r="C182" s="556" t="s">
        <v>204</v>
      </c>
      <c r="D182" s="557"/>
      <c r="E182" s="411">
        <f>+E157/'Key Dashboards-July 2017'!$N$37</f>
        <v>0.18002428350997898</v>
      </c>
      <c r="F182" s="419">
        <f>+E157/'Key Dashboards-July 2017'!$N$30</f>
        <v>136.86346153846154</v>
      </c>
      <c r="G182" s="414">
        <f>+G157/'Key Dashboards-July 2017'!$N$37</f>
        <v>0.18002428350997898</v>
      </c>
      <c r="H182" s="423">
        <f>+G157/'Key Dashboards-July 2017'!$N$30</f>
        <v>136.86346153846154</v>
      </c>
      <c r="I182" s="411">
        <f>+I157/'Key Dashboards-July 2017'!$N$37</f>
        <v>0.12591455239926136</v>
      </c>
      <c r="J182" s="419">
        <f>+I157/'Key Dashboards-July 2017'!$N$30</f>
        <v>95.726538461538453</v>
      </c>
      <c r="K182" s="414">
        <f>+K157/'Key Dashboards-July 2017'!$N$37</f>
        <v>0.30593883590924037</v>
      </c>
      <c r="L182" s="423">
        <f>+K157/'Key Dashboards-July 2017'!$N$30</f>
        <v>232.59</v>
      </c>
      <c r="M182" s="411">
        <f>+M157/'Key Dashboards-July 2017'!$N$37</f>
        <v>0.12633091341410974</v>
      </c>
      <c r="N182" s="425">
        <f>+M157/'Key Dashboards-July 2017'!$N$30</f>
        <v>96.043076923076924</v>
      </c>
      <c r="O182" s="414">
        <f>+O157/'Key Dashboards-July 2017'!$N$37</f>
        <v>0.43226974932335016</v>
      </c>
      <c r="P182" s="423">
        <f>+O157/'Key Dashboards-July 2017'!$N$30</f>
        <v>328.63307692307694</v>
      </c>
      <c r="Q182" s="411">
        <f>+Q157/'Key Dashboards-July 2017'!$N$37</f>
        <v>0.17146333442946396</v>
      </c>
      <c r="R182" s="425">
        <f>+Q157/'Key Dashboards-July 2017'!$N$30</f>
        <v>130.35499999999999</v>
      </c>
      <c r="S182" s="414">
        <f>+S157/'Key Dashboards-July 2017'!$N$37</f>
        <v>0.60373308375281409</v>
      </c>
      <c r="T182" s="423">
        <f>+S157/'Key Dashboards-July 2017'!$N$30</f>
        <v>458.98807692307696</v>
      </c>
      <c r="U182" s="411">
        <f>+U157/'Key Dashboards-July 2017'!$N$37</f>
        <v>0.1223319758176713</v>
      </c>
      <c r="V182" s="425">
        <f>+U157/'Key Dashboards-July 2017'!$N$30</f>
        <v>93.002884615384602</v>
      </c>
      <c r="W182" s="414">
        <f>+W157/'Key Dashboards-July 2017'!$N$37</f>
        <v>0.7260650595704855</v>
      </c>
      <c r="X182" s="423">
        <f>+W157/'Key Dashboards-July 2017'!$N$30</f>
        <v>551.99096153846153</v>
      </c>
      <c r="Y182" s="411">
        <f>+Y157/'Key Dashboards-July 2017'!$N$37</f>
        <v>0.11186426529734651</v>
      </c>
      <c r="Z182" s="425">
        <f>+Y157/'Key Dashboards-July 2017'!$N$30</f>
        <v>85.044807692307685</v>
      </c>
      <c r="AA182" s="414">
        <f>+AA157/'Key Dashboards-July 2017'!$N$37</f>
        <v>0.837929324867832</v>
      </c>
      <c r="AB182" s="423">
        <f>+AA157/'Key Dashboards-July 2017'!$N$30</f>
        <v>637.03576923076923</v>
      </c>
      <c r="AC182" s="411">
        <f>+AC157/'Key Dashboards-July 2017'!$N$37</f>
        <v>0.13118837426959756</v>
      </c>
      <c r="AD182" s="425">
        <f>+AC157/'Key Dashboards-July 2017'!$N$30</f>
        <v>99.735961538461552</v>
      </c>
      <c r="AE182" s="414">
        <f>+AE157/'Key Dashboards-July 2017'!$N$37</f>
        <v>0.96911769913742962</v>
      </c>
      <c r="AF182" s="423">
        <f>+AE157/'Key Dashboards-July 2017'!$N$30</f>
        <v>736.77173076923089</v>
      </c>
      <c r="AG182" s="411">
        <f>+AG157/'Key Dashboards-July 2017'!$N$37</f>
        <v>0.23512635013785946</v>
      </c>
      <c r="AH182" s="425">
        <f>+AG157/'Key Dashboards-July 2017'!$N$30</f>
        <v>178.75480769230765</v>
      </c>
      <c r="AI182" s="414">
        <f>+AI157/'Key Dashboards-July 2017'!$N$37</f>
        <v>1.2042440492752888</v>
      </c>
      <c r="AJ182" s="423">
        <f>+AI157/'Key Dashboards-July 2017'!$N$30</f>
        <v>915.52653846153839</v>
      </c>
      <c r="AK182" s="91"/>
      <c r="AL182" s="91"/>
      <c r="AM182" s="91"/>
      <c r="AN182" s="91"/>
    </row>
    <row r="183" spans="3:40">
      <c r="C183" s="556" t="s">
        <v>205</v>
      </c>
      <c r="D183" s="557"/>
      <c r="E183" s="411">
        <f>+E158/'Key Dashboards-July 2017'!$N$37</f>
        <v>8.052816634204335E-2</v>
      </c>
      <c r="F183" s="419">
        <f>+E158/'Key Dashboards-July 2017'!$N$30</f>
        <v>61.221538461538458</v>
      </c>
      <c r="G183" s="414">
        <f>+G158/'Key Dashboards-July 2017'!$N$37</f>
        <v>8.052816634204335E-2</v>
      </c>
      <c r="H183" s="423">
        <f>+G158/'Key Dashboards-July 2017'!$N$30</f>
        <v>61.221538461538458</v>
      </c>
      <c r="I183" s="411">
        <f>+I158/'Key Dashboards-July 2017'!$N$37</f>
        <v>0.12300457845344395</v>
      </c>
      <c r="J183" s="419">
        <f>+I158/'Key Dashboards-July 2017'!$N$30</f>
        <v>93.514230769230764</v>
      </c>
      <c r="K183" s="414">
        <f>+K158/'Key Dashboards-July 2017'!$N$37</f>
        <v>0.20353274479548733</v>
      </c>
      <c r="L183" s="423">
        <f>+K158/'Key Dashboards-July 2017'!$N$30</f>
        <v>154.73576923076922</v>
      </c>
      <c r="M183" s="411">
        <f>+M158/'Key Dashboards-July 2017'!$N$37</f>
        <v>6.9959527483368325E-2</v>
      </c>
      <c r="N183" s="425">
        <f>+M158/'Key Dashboards-July 2017'!$N$30</f>
        <v>53.18673076923077</v>
      </c>
      <c r="O183" s="414">
        <f>+O158/'Key Dashboards-July 2017'!$N$37</f>
        <v>0.27349227227885564</v>
      </c>
      <c r="P183" s="423">
        <f>+O158/'Key Dashboards-July 2017'!$N$30</f>
        <v>207.92249999999999</v>
      </c>
      <c r="Q183" s="411">
        <f>+Q158/'Key Dashboards-July 2017'!$N$37</f>
        <v>5.701742847747452E-2</v>
      </c>
      <c r="R183" s="425">
        <f>+Q158/'Key Dashboards-July 2017'!$N$30</f>
        <v>43.347500000000004</v>
      </c>
      <c r="S183" s="414">
        <f>+S158/'Key Dashboards-July 2017'!$N$37</f>
        <v>0.33050970075633018</v>
      </c>
      <c r="T183" s="423">
        <f>+S158/'Key Dashboards-July 2017'!$N$30</f>
        <v>251.27</v>
      </c>
      <c r="U183" s="411">
        <f>+U158/'Key Dashboards-July 2017'!$N$37</f>
        <v>0.20966483697164395</v>
      </c>
      <c r="V183" s="425">
        <f>+U158/'Key Dashboards-July 2017'!$N$30</f>
        <v>159.39769230769232</v>
      </c>
      <c r="W183" s="414">
        <f>+W158/'Key Dashboards-July 2017'!$N$37</f>
        <v>0.54017453772797408</v>
      </c>
      <c r="X183" s="423">
        <f>+W158/'Key Dashboards-July 2017'!$N$30</f>
        <v>410.66769230769233</v>
      </c>
      <c r="Y183" s="411">
        <f>+Y158/'Key Dashboards-July 2017'!$N$37</f>
        <v>8.2626666329395693E-2</v>
      </c>
      <c r="Z183" s="425">
        <f>+Y158/'Key Dashboards-July 2017'!$N$30</f>
        <v>62.816923076923075</v>
      </c>
      <c r="AA183" s="414">
        <f>+AA158/'Key Dashboards-July 2017'!$N$37</f>
        <v>0.62280120405736983</v>
      </c>
      <c r="AB183" s="423">
        <f>+AA158/'Key Dashboards-July 2017'!$N$30</f>
        <v>473.48461538461538</v>
      </c>
      <c r="AC183" s="411">
        <f>+AC158/'Key Dashboards-July 2017'!$N$37</f>
        <v>0.1483052133660486</v>
      </c>
      <c r="AD183" s="425">
        <f>+AC158/'Key Dashboards-July 2017'!$N$30</f>
        <v>112.74903846153846</v>
      </c>
      <c r="AE183" s="414">
        <f>+AE158/'Key Dashboards-July 2017'!$N$37</f>
        <v>0.77110641742341846</v>
      </c>
      <c r="AF183" s="423">
        <f>+AE158/'Key Dashboards-July 2017'!$N$30</f>
        <v>586.23365384615386</v>
      </c>
      <c r="AG183" s="411">
        <f>+AG158/'Key Dashboards-July 2017'!$N$37</f>
        <v>9.9205979814332323E-2</v>
      </c>
      <c r="AH183" s="425">
        <f>+AG158/'Key Dashboards-July 2017'!$N$30</f>
        <v>75.421346153846144</v>
      </c>
      <c r="AI183" s="414">
        <f>+AI158/'Key Dashboards-July 2017'!$N$37</f>
        <v>0.87031239723775067</v>
      </c>
      <c r="AJ183" s="423">
        <f>+AI158/'Key Dashboards-July 2017'!$N$30</f>
        <v>661.65499999999997</v>
      </c>
      <c r="AK183" s="91"/>
      <c r="AL183" s="91"/>
      <c r="AM183" s="91"/>
      <c r="AN183" s="91"/>
    </row>
    <row r="184" spans="3:40">
      <c r="C184" s="556" t="s">
        <v>206</v>
      </c>
      <c r="D184" s="557"/>
      <c r="E184" s="411">
        <f>+E159/'Key Dashboards-July 2017'!$N$37</f>
        <v>4.0589128070219811E-2</v>
      </c>
      <c r="F184" s="419">
        <f>+E159/'Key Dashboards-July 2017'!$N$30</f>
        <v>30.857884615384613</v>
      </c>
      <c r="G184" s="414">
        <f>+G159/'Key Dashboards-July 2017'!$N$37</f>
        <v>4.0589128070219811E-2</v>
      </c>
      <c r="H184" s="423">
        <f>+G159/'Key Dashboards-July 2017'!$N$30</f>
        <v>30.857884615384613</v>
      </c>
      <c r="I184" s="411">
        <f>+I159/'Key Dashboards-July 2017'!$N$37</f>
        <v>3.2639819897300984E-2</v>
      </c>
      <c r="J184" s="419">
        <f>+I159/'Key Dashboards-July 2017'!$N$30</f>
        <v>24.814423076923074</v>
      </c>
      <c r="K184" s="414">
        <f>+K159/'Key Dashboards-July 2017'!$N$37</f>
        <v>7.3228947967520802E-2</v>
      </c>
      <c r="L184" s="423">
        <f>+K159/'Key Dashboards-July 2017'!$N$30</f>
        <v>55.67230769230769</v>
      </c>
      <c r="M184" s="411">
        <f>+M159/'Key Dashboards-July 2017'!$N$37</f>
        <v>3.125540687526876E-2</v>
      </c>
      <c r="N184" s="425">
        <f>+M159/'Key Dashboards-July 2017'!$N$30</f>
        <v>23.761923076923075</v>
      </c>
      <c r="O184" s="414">
        <f>+O159/'Key Dashboards-July 2017'!$N$37</f>
        <v>0.10448435484278956</v>
      </c>
      <c r="P184" s="423">
        <f>+O159/'Key Dashboards-July 2017'!$N$30</f>
        <v>79.434230769230766</v>
      </c>
      <c r="Q184" s="411">
        <f>+Q159/'Key Dashboards-July 2017'!$N$37</f>
        <v>3.5990438367945764E-2</v>
      </c>
      <c r="R184" s="425">
        <f>+Q159/'Key Dashboards-July 2017'!$N$30</f>
        <v>27.361730769230768</v>
      </c>
      <c r="S184" s="414">
        <f>+S159/'Key Dashboards-July 2017'!$N$37</f>
        <v>0.14047479321073533</v>
      </c>
      <c r="T184" s="423">
        <f>+S159/'Key Dashboards-July 2017'!$N$30</f>
        <v>106.79596153846154</v>
      </c>
      <c r="U184" s="411">
        <f>+U159/'Key Dashboards-July 2017'!$N$37</f>
        <v>7.8054789669390126E-2</v>
      </c>
      <c r="V184" s="425">
        <f>+U159/'Key Dashboards-July 2017'!$N$30</f>
        <v>59.341153846153844</v>
      </c>
      <c r="W184" s="414">
        <f>+W159/'Key Dashboards-July 2017'!$N$37</f>
        <v>0.21852958288012544</v>
      </c>
      <c r="X184" s="423">
        <f>+W159/'Key Dashboards-July 2017'!$N$30</f>
        <v>166.13711538461536</v>
      </c>
      <c r="Y184" s="411">
        <f>+Y159/'Key Dashboards-July 2017'!$N$37</f>
        <v>2.7536235550046795E-2</v>
      </c>
      <c r="Z184" s="425">
        <f>+Y159/'Key Dashboards-July 2017'!$N$30</f>
        <v>20.934423076923075</v>
      </c>
      <c r="AA184" s="414">
        <f>+AA159/'Key Dashboards-July 2017'!$N$37</f>
        <v>0.24606581843017225</v>
      </c>
      <c r="AB184" s="423">
        <f>+AA159/'Key Dashboards-July 2017'!$N$30</f>
        <v>187.07153846153844</v>
      </c>
      <c r="AC184" s="411">
        <f>+AC159/'Key Dashboards-July 2017'!$N$37</f>
        <v>0.1550441403384514</v>
      </c>
      <c r="AD184" s="425">
        <f>+AC159/'Key Dashboards-July 2017'!$N$30</f>
        <v>117.87230769230769</v>
      </c>
      <c r="AE184" s="414">
        <f>+AE159/'Key Dashboards-July 2017'!$N$37</f>
        <v>0.40110995876862365</v>
      </c>
      <c r="AF184" s="423">
        <f>+AE159/'Key Dashboards-July 2017'!$N$30</f>
        <v>304.94384615384615</v>
      </c>
      <c r="AG184" s="411">
        <f>+AG159/'Key Dashboards-July 2017'!$N$37</f>
        <v>7.7248374775504017E-2</v>
      </c>
      <c r="AH184" s="425">
        <f>+AG159/'Key Dashboards-July 2017'!$N$30</f>
        <v>58.728076923076927</v>
      </c>
      <c r="AI184" s="414">
        <f>+AI159/'Key Dashboards-July 2017'!$N$37</f>
        <v>0.47835833354412766</v>
      </c>
      <c r="AJ184" s="423">
        <f>+AI159/'Key Dashboards-July 2017'!$N$30</f>
        <v>363.67192307692306</v>
      </c>
      <c r="AK184" s="91"/>
      <c r="AL184" s="91"/>
      <c r="AM184" s="91"/>
      <c r="AN184" s="91"/>
    </row>
    <row r="185" spans="3:40">
      <c r="C185" s="556" t="s">
        <v>207</v>
      </c>
      <c r="D185" s="557"/>
      <c r="E185" s="411">
        <f>+E160/'Key Dashboards-July 2017'!$N$37</f>
        <v>0.14374649027394834</v>
      </c>
      <c r="F185" s="419">
        <f>+E160/'Key Dashboards-July 2017'!$N$30</f>
        <v>109.28326923076922</v>
      </c>
      <c r="G185" s="414">
        <f>+G160/'Key Dashboards-July 2017'!$N$37</f>
        <v>0.14374649027394834</v>
      </c>
      <c r="H185" s="423">
        <f>+G160/'Key Dashboards-July 2017'!$N$30</f>
        <v>109.28326923076922</v>
      </c>
      <c r="I185" s="411">
        <f>+I160/'Key Dashboards-July 2017'!$N$37</f>
        <v>0.12510080186173575</v>
      </c>
      <c r="J185" s="419">
        <f>+I160/'Key Dashboards-July 2017'!$N$30</f>
        <v>95.107884615384606</v>
      </c>
      <c r="K185" s="414">
        <f>+K160/'Key Dashboards-July 2017'!$N$37</f>
        <v>0.26884729213568409</v>
      </c>
      <c r="L185" s="423">
        <f>+K160/'Key Dashboards-July 2017'!$N$30</f>
        <v>204.39115384615386</v>
      </c>
      <c r="M185" s="411">
        <f>+M160/'Key Dashboards-July 2017'!$N$37</f>
        <v>0.10674120355146334</v>
      </c>
      <c r="N185" s="425">
        <f>+M160/'Key Dashboards-July 2017'!$N$30</f>
        <v>81.150000000000006</v>
      </c>
      <c r="O185" s="414">
        <f>+O160/'Key Dashboards-July 2017'!$N$37</f>
        <v>0.37558849568714742</v>
      </c>
      <c r="P185" s="423">
        <f>+O160/'Key Dashboards-July 2017'!$N$30</f>
        <v>285.54115384615386</v>
      </c>
      <c r="Q185" s="411">
        <f>+Q160/'Key Dashboards-July 2017'!$N$37</f>
        <v>0.12138668960109275</v>
      </c>
      <c r="R185" s="425">
        <f>+Q160/'Key Dashboards-July 2017'!$N$30</f>
        <v>92.28423076923076</v>
      </c>
      <c r="S185" s="414">
        <f>+S160/'Key Dashboards-July 2017'!$N$37</f>
        <v>0.49697518528824014</v>
      </c>
      <c r="T185" s="423">
        <f>+S160/'Key Dashboards-July 2017'!$N$30</f>
        <v>377.82538461538456</v>
      </c>
      <c r="U185" s="411">
        <f>+U160/'Key Dashboards-July 2017'!$N$37</f>
        <v>0.1245789593504161</v>
      </c>
      <c r="V185" s="425">
        <f>+U160/'Key Dashboards-July 2017'!$N$30</f>
        <v>94.711153846153834</v>
      </c>
      <c r="W185" s="414">
        <f>+W160/'Key Dashboards-July 2017'!$N$37</f>
        <v>0.62155414463865633</v>
      </c>
      <c r="X185" s="423">
        <f>+W160/'Key Dashboards-July 2017'!$N$30</f>
        <v>472.5365384615385</v>
      </c>
      <c r="Y185" s="411">
        <f>+Y160/'Key Dashboards-July 2017'!$N$37</f>
        <v>0.11909088609516101</v>
      </c>
      <c r="Z185" s="425">
        <f>+Y160/'Key Dashboards-July 2017'!$N$30</f>
        <v>90.538846153846166</v>
      </c>
      <c r="AA185" s="414">
        <f>+AA160/'Key Dashboards-July 2017'!$N$37</f>
        <v>0.74064503073381727</v>
      </c>
      <c r="AB185" s="423">
        <f>+AA160/'Key Dashboards-July 2017'!$N$30</f>
        <v>563.07538461538456</v>
      </c>
      <c r="AC185" s="411">
        <f>+AC160/'Key Dashboards-July 2017'!$N$37</f>
        <v>0.14822300356664053</v>
      </c>
      <c r="AD185" s="425">
        <f>+AC160/'Key Dashboards-July 2017'!$N$30</f>
        <v>112.68653846153846</v>
      </c>
      <c r="AE185" s="414">
        <f>+AE160/'Key Dashboards-July 2017'!$N$37</f>
        <v>0.88886803430045791</v>
      </c>
      <c r="AF185" s="423">
        <f>+AE160/'Key Dashboards-July 2017'!$N$30</f>
        <v>675.76192307692315</v>
      </c>
      <c r="AG185" s="411">
        <f>+AG160/'Key Dashboards-July 2017'!$N$37</f>
        <v>0.1094035362861407</v>
      </c>
      <c r="AH185" s="425">
        <f>+AG160/'Key Dashboards-July 2017'!$N$30</f>
        <v>83.174038461538458</v>
      </c>
      <c r="AI185" s="414">
        <f>+AI160/'Key Dashboards-July 2017'!$N$37</f>
        <v>0.99827157058659854</v>
      </c>
      <c r="AJ185" s="423">
        <f>+AI160/'Key Dashboards-July 2017'!$N$30</f>
        <v>758.93596153846147</v>
      </c>
    </row>
    <row r="186" spans="3:40">
      <c r="C186" s="556" t="s">
        <v>208</v>
      </c>
      <c r="D186" s="557"/>
      <c r="E186" s="411">
        <f>+E161/'Key Dashboards-July 2017'!$N$37</f>
        <v>4.7668530088786583E-2</v>
      </c>
      <c r="F186" s="419">
        <f>+E161/'Key Dashboards-July 2017'!$N$30</f>
        <v>36.24</v>
      </c>
      <c r="G186" s="414">
        <f>+G161/'Key Dashboards-July 2017'!$N$37</f>
        <v>4.7668530088786583E-2</v>
      </c>
      <c r="H186" s="423">
        <f>+G161/'Key Dashboards-July 2017'!$N$30</f>
        <v>36.24</v>
      </c>
      <c r="I186" s="411">
        <f>+I161/'Key Dashboards-July 2017'!$N$37</f>
        <v>4.7672577340449752E-2</v>
      </c>
      <c r="J186" s="419">
        <f>+I161/'Key Dashboards-July 2017'!$N$30</f>
        <v>36.243076923076927</v>
      </c>
      <c r="K186" s="414">
        <f>+K161/'Key Dashboards-July 2017'!$N$37</f>
        <v>9.5341107429236335E-2</v>
      </c>
      <c r="L186" s="423">
        <f>+K161/'Key Dashboards-July 2017'!$N$30</f>
        <v>72.483076923076922</v>
      </c>
      <c r="M186" s="411">
        <f>+M161/'Key Dashboards-July 2017'!$N$37</f>
        <v>4.7672577340449752E-2</v>
      </c>
      <c r="N186" s="425">
        <f>+M161/'Key Dashboards-July 2017'!$N$30</f>
        <v>36.243076923076927</v>
      </c>
      <c r="O186" s="414">
        <f>+O161/'Key Dashboards-July 2017'!$N$37</f>
        <v>0.14301368476968609</v>
      </c>
      <c r="P186" s="423">
        <f>+O161/'Key Dashboards-July 2017'!$N$30</f>
        <v>108.72615384615385</v>
      </c>
      <c r="Q186" s="411">
        <f>+Q161/'Key Dashboards-July 2017'!$N$37</f>
        <v>4.7672577340449752E-2</v>
      </c>
      <c r="R186" s="425">
        <f>+Q161/'Key Dashboards-July 2017'!$N$30</f>
        <v>36.243076923076927</v>
      </c>
      <c r="S186" s="414">
        <f>+S161/'Key Dashboards-July 2017'!$N$37</f>
        <v>0.19068626211013584</v>
      </c>
      <c r="T186" s="423">
        <f>+S161/'Key Dashboards-July 2017'!$N$30</f>
        <v>144.96923076923076</v>
      </c>
      <c r="U186" s="411">
        <f>+U161/'Key Dashboards-July 2017'!$N$37</f>
        <v>4.7669794854931322E-2</v>
      </c>
      <c r="V186" s="425">
        <f>+U161/'Key Dashboards-July 2017'!$N$30</f>
        <v>36.240961538461541</v>
      </c>
      <c r="W186" s="414">
        <f>+W161/'Key Dashboards-July 2017'!$N$37</f>
        <v>0.23835605696506718</v>
      </c>
      <c r="X186" s="423">
        <f>+W161/'Key Dashboards-July 2017'!$N$30</f>
        <v>181.21019230769232</v>
      </c>
      <c r="Y186" s="411">
        <f>+Y161/'Key Dashboards-July 2017'!$N$37</f>
        <v>4.1751195204006775E-2</v>
      </c>
      <c r="Z186" s="425">
        <f>+Y161/'Key Dashboards-July 2017'!$N$30</f>
        <v>31.741346153846152</v>
      </c>
      <c r="AA186" s="414">
        <f>+AA161/'Key Dashboards-July 2017'!$N$37</f>
        <v>0.28010725216907395</v>
      </c>
      <c r="AB186" s="423">
        <f>+AA161/'Key Dashboards-July 2017'!$N$30</f>
        <v>212.95153846153846</v>
      </c>
      <c r="AC186" s="411">
        <f>+AC161/'Key Dashboards-July 2017'!$N$37</f>
        <v>4.1751195204006775E-2</v>
      </c>
      <c r="AD186" s="425">
        <f>+AC161/'Key Dashboards-July 2017'!$N$30</f>
        <v>31.741346153846152</v>
      </c>
      <c r="AE186" s="414">
        <f>+AE161/'Key Dashboards-July 2017'!$N$37</f>
        <v>0.32185844737308072</v>
      </c>
      <c r="AF186" s="423">
        <f>+AE161/'Key Dashboards-July 2017'!$N$30</f>
        <v>244.69288461538463</v>
      </c>
      <c r="AG186" s="411">
        <f>+AG161/'Key Dashboards-July 2017'!$N$37</f>
        <v>4.1751195204006775E-2</v>
      </c>
      <c r="AH186" s="425">
        <f>+AG161/'Key Dashboards-July 2017'!$N$30</f>
        <v>31.741346153846152</v>
      </c>
      <c r="AI186" s="414">
        <f>+AI161/'Key Dashboards-July 2017'!$N$37</f>
        <v>0.3636096425770875</v>
      </c>
      <c r="AJ186" s="423">
        <f>+AI161/'Key Dashboards-July 2017'!$N$30</f>
        <v>276.43423076923079</v>
      </c>
    </row>
    <row r="187" spans="3:40">
      <c r="C187" s="556" t="s">
        <v>209</v>
      </c>
      <c r="D187" s="557"/>
      <c r="E187" s="411">
        <f>+E162/'Key Dashboards-July 2017'!$N$37</f>
        <v>0.49155490349834313</v>
      </c>
      <c r="F187" s="419">
        <f>+E162/'Key Dashboards-July 2017'!$N$30</f>
        <v>373.70461538461535</v>
      </c>
      <c r="G187" s="414">
        <f>+G162/'Key Dashboards-July 2017'!$N$37</f>
        <v>0.49155490349834313</v>
      </c>
      <c r="H187" s="423">
        <f>+G162/'Key Dashboards-July 2017'!$N$30</f>
        <v>373.70461538461535</v>
      </c>
      <c r="I187" s="411">
        <f>+I162/'Key Dashboards-July 2017'!$N$37</f>
        <v>0.49155490349834313</v>
      </c>
      <c r="J187" s="419">
        <f>+I162/'Key Dashboards-July 2017'!$N$30</f>
        <v>373.70461538461535</v>
      </c>
      <c r="K187" s="414">
        <f>+K162/'Key Dashboards-July 2017'!$N$37</f>
        <v>0.98310980699668626</v>
      </c>
      <c r="L187" s="423">
        <f>+K162/'Key Dashboards-July 2017'!$N$30</f>
        <v>747.4092307692307</v>
      </c>
      <c r="M187" s="411">
        <f>+M162/'Key Dashboards-July 2017'!$N$37</f>
        <v>0.49155490349834313</v>
      </c>
      <c r="N187" s="425">
        <f>+M162/'Key Dashboards-July 2017'!$N$30</f>
        <v>373.70461538461535</v>
      </c>
      <c r="O187" s="414">
        <f>+O162/'Key Dashboards-July 2017'!$N$37</f>
        <v>1.4746647104950295</v>
      </c>
      <c r="P187" s="423">
        <f>+O162/'Key Dashboards-July 2017'!$N$30</f>
        <v>1121.1138461538462</v>
      </c>
      <c r="Q187" s="411">
        <f>+Q162/'Key Dashboards-July 2017'!$N$37</f>
        <v>0.49155490349834313</v>
      </c>
      <c r="R187" s="425">
        <f>+Q162/'Key Dashboards-July 2017'!$N$30</f>
        <v>373.70461538461535</v>
      </c>
      <c r="S187" s="414">
        <f>+S162/'Key Dashboards-July 2017'!$N$37</f>
        <v>1.9662196139933725</v>
      </c>
      <c r="T187" s="423">
        <f>+S162/'Key Dashboards-July 2017'!$N$30</f>
        <v>1494.8184615384614</v>
      </c>
      <c r="U187" s="411">
        <f>+U162/'Key Dashboards-July 2017'!$N$37</f>
        <v>0.49155490349834313</v>
      </c>
      <c r="V187" s="425">
        <f>+U162/'Key Dashboards-July 2017'!$N$30</f>
        <v>373.70461538461535</v>
      </c>
      <c r="W187" s="414">
        <f>+W162/'Key Dashboards-July 2017'!$N$37</f>
        <v>2.4577745174917158</v>
      </c>
      <c r="X187" s="423">
        <f>+W162/'Key Dashboards-July 2017'!$N$30</f>
        <v>1868.5230769230768</v>
      </c>
      <c r="Y187" s="411">
        <f>+Y162/'Key Dashboards-July 2017'!$N$37</f>
        <v>0.49155465054511421</v>
      </c>
      <c r="Z187" s="425">
        <f>+Y162/'Key Dashboards-July 2017'!$N$30</f>
        <v>373.70442307692309</v>
      </c>
      <c r="AA187" s="414">
        <f>+AA162/'Key Dashboards-July 2017'!$N$37</f>
        <v>2.9493291680368299</v>
      </c>
      <c r="AB187" s="423">
        <f>+AA162/'Key Dashboards-July 2017'!$N$30</f>
        <v>2242.2275</v>
      </c>
      <c r="AC187" s="411">
        <f>+AC162/'Key Dashboards-July 2017'!$N$37</f>
        <v>0.50138593074140592</v>
      </c>
      <c r="AD187" s="425">
        <f>+AC162/'Key Dashboards-July 2017'!$N$30</f>
        <v>381.17865384615385</v>
      </c>
      <c r="AE187" s="414">
        <f>+AE162/'Key Dashboards-July 2017'!$N$37</f>
        <v>3.4507150987782356</v>
      </c>
      <c r="AF187" s="423">
        <f>+AE162/'Key Dashboards-July 2017'!$N$30</f>
        <v>2623.4061538461538</v>
      </c>
      <c r="AG187" s="411">
        <f>+AG162/'Key Dashboards-July 2017'!$N$37</f>
        <v>0.50138593074140592</v>
      </c>
      <c r="AH187" s="425">
        <f>+AG162/'Key Dashboards-July 2017'!$N$30</f>
        <v>381.17865384615385</v>
      </c>
      <c r="AI187" s="414">
        <f>+AI162/'Key Dashboards-July 2017'!$N$37</f>
        <v>3.9521010295196417</v>
      </c>
      <c r="AJ187" s="423">
        <f>+AI162/'Key Dashboards-July 2017'!$N$30</f>
        <v>3004.5848076923075</v>
      </c>
    </row>
    <row r="188" spans="3:40">
      <c r="C188" s="556" t="s">
        <v>210</v>
      </c>
      <c r="D188" s="557"/>
      <c r="E188" s="411">
        <f>+E163/'Key Dashboards-July 2017'!$N$37</f>
        <v>3.9974198770647305E-2</v>
      </c>
      <c r="F188" s="419">
        <f>+E163/'Key Dashboards-July 2017'!$N$30</f>
        <v>30.390384615384615</v>
      </c>
      <c r="G188" s="414">
        <f>+G163/'Key Dashboards-July 2017'!$N$37</f>
        <v>3.9974198770647305E-2</v>
      </c>
      <c r="H188" s="423">
        <f>+G163/'Key Dashboards-July 2017'!$N$30</f>
        <v>30.390384615384615</v>
      </c>
      <c r="I188" s="411">
        <f>+I163/'Key Dashboards-July 2017'!$N$37</f>
        <v>2.6586902081805072E-2</v>
      </c>
      <c r="J188" s="419">
        <f>+I163/'Key Dashboards-July 2017'!$N$30</f>
        <v>20.212692307692308</v>
      </c>
      <c r="K188" s="414">
        <f>+K163/'Key Dashboards-July 2017'!$N$37</f>
        <v>6.6561100852452385E-2</v>
      </c>
      <c r="L188" s="423">
        <f>+K163/'Key Dashboards-July 2017'!$N$30</f>
        <v>50.603076923076927</v>
      </c>
      <c r="M188" s="411">
        <f>+M163/'Key Dashboards-July 2017'!$N$37</f>
        <v>2.531530619988364E-2</v>
      </c>
      <c r="N188" s="425">
        <f>+M163/'Key Dashboards-July 2017'!$N$30</f>
        <v>19.245961538461536</v>
      </c>
      <c r="O188" s="414">
        <f>+O163/'Key Dashboards-July 2017'!$N$37</f>
        <v>9.1876407052336032E-2</v>
      </c>
      <c r="P188" s="423">
        <f>+O163/'Key Dashboards-July 2017'!$N$30</f>
        <v>69.84903846153847</v>
      </c>
      <c r="Q188" s="411">
        <f>+Q163/'Key Dashboards-July 2017'!$N$37</f>
        <v>7.4026762451622694E-2</v>
      </c>
      <c r="R188" s="425">
        <f>+Q163/'Key Dashboards-July 2017'!$N$30</f>
        <v>56.278846153846153</v>
      </c>
      <c r="S188" s="414">
        <f>+S163/'Key Dashboards-July 2017'!$N$37</f>
        <v>0.1659031695039587</v>
      </c>
      <c r="T188" s="423">
        <f>+S163/'Key Dashboards-July 2017'!$N$30</f>
        <v>126.1278846153846</v>
      </c>
      <c r="U188" s="411">
        <f>+U163/'Key Dashboards-July 2017'!$N$37</f>
        <v>6.421369488781524E-2</v>
      </c>
      <c r="V188" s="425">
        <f>+U163/'Key Dashboards-July 2017'!$N$30</f>
        <v>48.818461538461534</v>
      </c>
      <c r="W188" s="414">
        <f>+W163/'Key Dashboards-July 2017'!$N$37</f>
        <v>0.23011686439177395</v>
      </c>
      <c r="X188" s="423">
        <f>+W163/'Key Dashboards-July 2017'!$N$30</f>
        <v>174.94634615384615</v>
      </c>
      <c r="Y188" s="411">
        <f>+Y163/'Key Dashboards-July 2017'!$N$37</f>
        <v>4.1293096906382012E-2</v>
      </c>
      <c r="Z188" s="425">
        <f>+Y163/'Key Dashboards-July 2017'!$N$30</f>
        <v>31.393076923076926</v>
      </c>
      <c r="AA188" s="414">
        <f>+AA163/'Key Dashboards-July 2017'!$N$37</f>
        <v>0.27140996129815598</v>
      </c>
      <c r="AB188" s="423">
        <f>+AA163/'Key Dashboards-July 2017'!$N$30</f>
        <v>206.33942307692308</v>
      </c>
      <c r="AC188" s="411">
        <f>+AC163/'Key Dashboards-July 2017'!$N$37</f>
        <v>0.1185202236106544</v>
      </c>
      <c r="AD188" s="425">
        <f>+AC163/'Key Dashboards-July 2017'!$N$30</f>
        <v>90.105000000000004</v>
      </c>
      <c r="AE188" s="414">
        <f>+AE163/'Key Dashboards-July 2017'!$N$37</f>
        <v>0.38993018490881037</v>
      </c>
      <c r="AF188" s="423">
        <f>+AE163/'Key Dashboards-July 2017'!$N$30</f>
        <v>296.4444230769231</v>
      </c>
      <c r="AG188" s="411">
        <f>+AG163/'Key Dashboards-July 2017'!$N$37</f>
        <v>9.7144158045177446E-3</v>
      </c>
      <c r="AH188" s="425">
        <f>+AG163/'Key Dashboards-July 2017'!$N$30</f>
        <v>7.3853846153846154</v>
      </c>
      <c r="AI188" s="414">
        <f>+AI163/'Key Dashboards-July 2017'!$N$37</f>
        <v>0.39964460071332808</v>
      </c>
      <c r="AJ188" s="423">
        <f>+AI163/'Key Dashboards-July 2017'!$N$30</f>
        <v>303.82980769230767</v>
      </c>
    </row>
    <row r="189" spans="3:40">
      <c r="C189" s="556" t="s">
        <v>211</v>
      </c>
      <c r="D189" s="557"/>
      <c r="E189" s="411">
        <f>+E164/'Key Dashboards-July 2017'!$N$37</f>
        <v>8.0317709255558634E-3</v>
      </c>
      <c r="F189" s="419">
        <f>+E164/'Key Dashboards-July 2017'!$N$30</f>
        <v>6.1061538461538456</v>
      </c>
      <c r="G189" s="414">
        <f>+G164/'Key Dashboards-July 2017'!$N$37</f>
        <v>8.0317709255558634E-3</v>
      </c>
      <c r="H189" s="423">
        <f>+G164/'Key Dashboards-July 2017'!$N$30</f>
        <v>6.1061538461538456</v>
      </c>
      <c r="I189" s="411">
        <f>+I164/'Key Dashboards-July 2017'!$N$37</f>
        <v>2.1562492095211595E-2</v>
      </c>
      <c r="J189" s="419">
        <f>+I164/'Key Dashboards-July 2017'!$N$30</f>
        <v>16.392884615384613</v>
      </c>
      <c r="K189" s="414">
        <f>+K164/'Key Dashboards-July 2017'!$N$37</f>
        <v>2.9594263020767456E-2</v>
      </c>
      <c r="L189" s="423">
        <f>+K164/'Key Dashboards-July 2017'!$N$30</f>
        <v>22.499038461538458</v>
      </c>
      <c r="M189" s="411">
        <f>+M164/'Key Dashboards-July 2017'!$N$37</f>
        <v>4.875015809576809E-2</v>
      </c>
      <c r="N189" s="425">
        <f>+M164/'Key Dashboards-July 2017'!$N$30</f>
        <v>37.062307692307691</v>
      </c>
      <c r="O189" s="414">
        <f>+O164/'Key Dashboards-July 2017'!$N$37</f>
        <v>7.8344421116535556E-2</v>
      </c>
      <c r="P189" s="423">
        <f>+O164/'Key Dashboards-July 2017'!$N$30</f>
        <v>59.561346153846152</v>
      </c>
      <c r="Q189" s="411">
        <f>+Q164/'Key Dashboards-July 2017'!$N$37</f>
        <v>5.0704474742620086E-3</v>
      </c>
      <c r="R189" s="425">
        <f>+Q164/'Key Dashboards-July 2017'!$N$30</f>
        <v>3.8548076923076922</v>
      </c>
      <c r="S189" s="414">
        <f>+S164/'Key Dashboards-July 2017'!$N$37</f>
        <v>8.3414868590797567E-2</v>
      </c>
      <c r="T189" s="423">
        <f>+S164/'Key Dashboards-July 2017'!$N$30</f>
        <v>63.416153846153854</v>
      </c>
      <c r="U189" s="411">
        <f>+U164/'Key Dashboards-July 2017'!$N$37</f>
        <v>1.1929021323957201E-2</v>
      </c>
      <c r="V189" s="425">
        <f>+U164/'Key Dashboards-July 2017'!$N$30</f>
        <v>9.0690384615384616</v>
      </c>
      <c r="W189" s="414">
        <f>+W164/'Key Dashboards-July 2017'!$N$37</f>
        <v>9.5343889914754773E-2</v>
      </c>
      <c r="X189" s="423">
        <f>+W164/'Key Dashboards-July 2017'!$N$30</f>
        <v>72.485192307692316</v>
      </c>
      <c r="Y189" s="411">
        <f>+Y164/'Key Dashboards-July 2017'!$N$37</f>
        <v>1.2285179470315937E-2</v>
      </c>
      <c r="Z189" s="425">
        <f>+Y164/'Key Dashboards-July 2017'!$N$30</f>
        <v>9.3398076923076907</v>
      </c>
      <c r="AA189" s="414">
        <f>+AA164/'Key Dashboards-July 2017'!$N$37</f>
        <v>0.10762906938507072</v>
      </c>
      <c r="AB189" s="423">
        <f>+AA164/'Key Dashboards-July 2017'!$N$30</f>
        <v>81.825000000000017</v>
      </c>
      <c r="AC189" s="411">
        <f>+AC164/'Key Dashboards-July 2017'!$N$37</f>
        <v>6.5428882199681272E-3</v>
      </c>
      <c r="AD189" s="425">
        <f>+AC164/'Key Dashboards-July 2017'!$N$30</f>
        <v>4.9742307692307683</v>
      </c>
      <c r="AE189" s="414">
        <f>+AE164/'Key Dashboards-July 2017'!$N$37</f>
        <v>0.11417195760503884</v>
      </c>
      <c r="AF189" s="423">
        <f>+AE164/'Key Dashboards-July 2017'!$N$30</f>
        <v>86.799230769230775</v>
      </c>
      <c r="AG189" s="411">
        <f>+AG164/'Key Dashboards-July 2017'!$N$37</f>
        <v>2.7807148458250069E-3</v>
      </c>
      <c r="AH189" s="425">
        <f>+AG164/'Key Dashboards-July 2017'!$N$30</f>
        <v>2.1140384615384615</v>
      </c>
      <c r="AI189" s="414">
        <f>+AI164/'Key Dashboards-July 2017'!$N$37</f>
        <v>0.11695267245086385</v>
      </c>
      <c r="AJ189" s="423">
        <f>+AI164/'Key Dashboards-July 2017'!$N$30</f>
        <v>88.913269230769245</v>
      </c>
    </row>
    <row r="190" spans="3:40" ht="13.5" thickBot="1">
      <c r="C190" s="558" t="s">
        <v>212</v>
      </c>
      <c r="D190" s="559"/>
      <c r="E190" s="411">
        <f>+E165/'Key Dashboards-July 2017'!$N$37</f>
        <v>0.30517820554979386</v>
      </c>
      <c r="F190" s="419">
        <f>+E165/'Key Dashboards-July 2017'!$N$30</f>
        <v>232.01173076923078</v>
      </c>
      <c r="G190" s="414">
        <f>+G165/'Key Dashboards-July 2017'!$N$37</f>
        <v>0.30517820554979386</v>
      </c>
      <c r="H190" s="423">
        <f>+G165/'Key Dashboards-July 2017'!$N$30</f>
        <v>232.01173076923078</v>
      </c>
      <c r="I190" s="411">
        <f>+I165/'Key Dashboards-July 2017'!$N$37</f>
        <v>0.27451066197860013</v>
      </c>
      <c r="J190" s="419">
        <f>+I165/'Key Dashboards-July 2017'!$N$30</f>
        <v>208.69673076923075</v>
      </c>
      <c r="K190" s="414">
        <f>+K165/'Key Dashboards-July 2017'!$N$37</f>
        <v>0.57968886752839399</v>
      </c>
      <c r="L190" s="423">
        <f>+K165/'Key Dashboards-July 2017'!$N$30</f>
        <v>440.70846153846156</v>
      </c>
      <c r="M190" s="411">
        <f>+M165/'Key Dashboards-July 2017'!$N$37</f>
        <v>0.27673083246907648</v>
      </c>
      <c r="N190" s="425">
        <f>+M165/'Key Dashboards-July 2017'!$N$30</f>
        <v>210.38461538461539</v>
      </c>
      <c r="O190" s="414">
        <f>+O165/'Key Dashboards-July 2017'!$N$37</f>
        <v>0.85641969999747036</v>
      </c>
      <c r="P190" s="423">
        <f>+O165/'Key Dashboards-July 2017'!$N$30</f>
        <v>651.09307692307686</v>
      </c>
      <c r="Q190" s="411">
        <f>+Q165/'Key Dashboards-July 2017'!$N$37</f>
        <v>0.24355601649255051</v>
      </c>
      <c r="R190" s="425">
        <f>+Q165/'Key Dashboards-July 2017'!$N$30</f>
        <v>185.16346153846155</v>
      </c>
      <c r="S190" s="414">
        <f>+S165/'Key Dashboards-July 2017'!$N$37</f>
        <v>1.099975716490021</v>
      </c>
      <c r="T190" s="423">
        <f>+S165/'Key Dashboards-July 2017'!$N$30</f>
        <v>836.25653846153841</v>
      </c>
      <c r="U190" s="411">
        <f>+U165/'Key Dashboards-July 2017'!$N$37</f>
        <v>0.24972883413856781</v>
      </c>
      <c r="V190" s="425">
        <f>+U165/'Key Dashboards-July 2017'!$N$30</f>
        <v>189.85634615384618</v>
      </c>
      <c r="W190" s="414">
        <f>+W165/'Key Dashboards-July 2017'!$N$37</f>
        <v>1.3497045506285887</v>
      </c>
      <c r="X190" s="423">
        <f>+W165/'Key Dashboards-July 2017'!$N$30</f>
        <v>1026.1128846153847</v>
      </c>
      <c r="Y190" s="411">
        <f>+Y165/'Key Dashboards-July 2017'!$N$37</f>
        <v>0.26921432727088762</v>
      </c>
      <c r="Z190" s="425">
        <f>+Y165/'Key Dashboards-July 2017'!$N$30</f>
        <v>204.6701923076923</v>
      </c>
      <c r="AA190" s="414">
        <f>+AA165/'Key Dashboards-July 2017'!$N$37</f>
        <v>1.6189188778994765</v>
      </c>
      <c r="AB190" s="423">
        <f>+AA165/'Key Dashboards-July 2017'!$N$30</f>
        <v>1230.783076923077</v>
      </c>
      <c r="AC190" s="411">
        <f>+AC165/'Key Dashboards-July 2017'!$N$37</f>
        <v>0.27467558748387422</v>
      </c>
      <c r="AD190" s="425">
        <f>+AC165/'Key Dashboards-July 2017'!$N$30</f>
        <v>208.82211538461539</v>
      </c>
      <c r="AE190" s="414">
        <f>+AE165/'Key Dashboards-July 2017'!$N$37</f>
        <v>1.8935944653833507</v>
      </c>
      <c r="AF190" s="423">
        <f>+AE165/'Key Dashboards-July 2017'!$N$30</f>
        <v>1439.6051923076923</v>
      </c>
      <c r="AG190" s="411">
        <f>+AG165/'Key Dashboards-July 2017'!$N$37</f>
        <v>0.23095262186021803</v>
      </c>
      <c r="AH190" s="425">
        <f>+AG165/'Key Dashboards-July 2017'!$N$30</f>
        <v>175.58173076923077</v>
      </c>
      <c r="AI190" s="414">
        <f>+AI165/'Key Dashboards-July 2017'!$N$37</f>
        <v>2.1245470872435686</v>
      </c>
      <c r="AJ190" s="423">
        <f>+AI165/'Key Dashboards-July 2017'!$N$30</f>
        <v>1615.186923076923</v>
      </c>
    </row>
    <row r="191" spans="3:40" ht="14.25" thickTop="1" thickBot="1">
      <c r="C191" s="552" t="s">
        <v>136</v>
      </c>
      <c r="D191" s="553"/>
      <c r="E191" s="412">
        <f t="shared" ref="E191:AJ191" si="61">+SUM(E182:E190)</f>
        <v>1.3372956770293172</v>
      </c>
      <c r="F191" s="421">
        <f t="shared" si="61"/>
        <v>1016.6790384615383</v>
      </c>
      <c r="G191" s="415">
        <f t="shared" si="61"/>
        <v>1.3372956770293172</v>
      </c>
      <c r="H191" s="421">
        <f t="shared" si="61"/>
        <v>1016.6790384615383</v>
      </c>
      <c r="I191" s="412">
        <f t="shared" si="61"/>
        <v>1.2685472896061516</v>
      </c>
      <c r="J191" s="421">
        <f t="shared" si="61"/>
        <v>964.4130769230768</v>
      </c>
      <c r="K191" s="415">
        <f t="shared" si="61"/>
        <v>2.605842966635469</v>
      </c>
      <c r="L191" s="421">
        <f t="shared" si="61"/>
        <v>1981.0921153846152</v>
      </c>
      <c r="M191" s="412">
        <f t="shared" si="61"/>
        <v>1.2243108289277314</v>
      </c>
      <c r="N191" s="421">
        <f t="shared" si="61"/>
        <v>930.78230769230777</v>
      </c>
      <c r="O191" s="415">
        <f t="shared" si="61"/>
        <v>3.8301537955631999</v>
      </c>
      <c r="P191" s="421">
        <f t="shared" si="61"/>
        <v>2911.8744230769225</v>
      </c>
      <c r="Q191" s="412">
        <f t="shared" si="61"/>
        <v>1.2477385981332052</v>
      </c>
      <c r="R191" s="421">
        <f t="shared" si="61"/>
        <v>948.59326923076924</v>
      </c>
      <c r="S191" s="415">
        <f t="shared" si="61"/>
        <v>5.0778923936964055</v>
      </c>
      <c r="T191" s="421">
        <f t="shared" si="61"/>
        <v>3860.4676923076922</v>
      </c>
      <c r="U191" s="412">
        <f t="shared" si="61"/>
        <v>1.3997268105127358</v>
      </c>
      <c r="V191" s="421">
        <f t="shared" si="61"/>
        <v>1064.1423076923077</v>
      </c>
      <c r="W191" s="415">
        <f t="shared" si="61"/>
        <v>6.4776192042091418</v>
      </c>
      <c r="X191" s="421">
        <f t="shared" si="61"/>
        <v>4924.6099999999997</v>
      </c>
      <c r="Y191" s="412">
        <f t="shared" si="61"/>
        <v>1.1972165026686565</v>
      </c>
      <c r="Z191" s="421">
        <f t="shared" si="61"/>
        <v>910.18384615384616</v>
      </c>
      <c r="AA191" s="415">
        <f t="shared" si="61"/>
        <v>7.6748357068777979</v>
      </c>
      <c r="AB191" s="421">
        <f t="shared" si="61"/>
        <v>5834.7938461538452</v>
      </c>
      <c r="AC191" s="412">
        <f t="shared" si="61"/>
        <v>1.5256365568006474</v>
      </c>
      <c r="AD191" s="421">
        <f t="shared" si="61"/>
        <v>1159.8651923076923</v>
      </c>
      <c r="AE191" s="415">
        <f t="shared" si="61"/>
        <v>9.2004722636784457</v>
      </c>
      <c r="AF191" s="421">
        <f t="shared" si="61"/>
        <v>6994.6590384615383</v>
      </c>
      <c r="AG191" s="412">
        <f t="shared" si="61"/>
        <v>1.3075691194698098</v>
      </c>
      <c r="AH191" s="421">
        <f t="shared" si="61"/>
        <v>994.07942307692315</v>
      </c>
      <c r="AI191" s="415">
        <f t="shared" si="61"/>
        <v>10.508041383148255</v>
      </c>
      <c r="AJ191" s="421">
        <f t="shared" si="61"/>
        <v>7988.7384615384617</v>
      </c>
    </row>
    <row r="192" spans="3:40" ht="14.25" thickTop="1" thickBot="1">
      <c r="C192" s="552" t="s">
        <v>148</v>
      </c>
      <c r="D192" s="553"/>
      <c r="E192" s="412">
        <f t="shared" ref="E192:AJ192" si="62">+E180-E191</f>
        <v>8.6170251989461644</v>
      </c>
      <c r="F192" s="421">
        <f t="shared" si="62"/>
        <v>9042.9419615384613</v>
      </c>
      <c r="G192" s="415">
        <f t="shared" si="62"/>
        <v>8.6170251989461644</v>
      </c>
      <c r="H192" s="421">
        <f t="shared" si="62"/>
        <v>8737.2527615384606</v>
      </c>
      <c r="I192" s="412">
        <f t="shared" si="62"/>
        <v>8.395873227230183</v>
      </c>
      <c r="J192" s="421">
        <f t="shared" si="62"/>
        <v>8574.8011230769243</v>
      </c>
      <c r="K192" s="415">
        <f t="shared" si="62"/>
        <v>17.012898426176349</v>
      </c>
      <c r="L192" s="421">
        <f t="shared" si="62"/>
        <v>17312.053884615387</v>
      </c>
      <c r="M192" s="412">
        <f t="shared" si="62"/>
        <v>8.3619915230286317</v>
      </c>
      <c r="N192" s="421">
        <f t="shared" si="62"/>
        <v>8550.5728923076931</v>
      </c>
      <c r="O192" s="415">
        <f t="shared" si="62"/>
        <v>25.374889949204984</v>
      </c>
      <c r="P192" s="421">
        <f t="shared" si="62"/>
        <v>25862.626776923076</v>
      </c>
      <c r="Q192" s="412">
        <f t="shared" si="62"/>
        <v>8.1059490588214018</v>
      </c>
      <c r="R192" s="421">
        <f t="shared" si="62"/>
        <v>8360.4735307692317</v>
      </c>
      <c r="S192" s="415">
        <f t="shared" si="62"/>
        <v>33.480839008026379</v>
      </c>
      <c r="T192" s="421">
        <f t="shared" si="62"/>
        <v>34223.100307692308</v>
      </c>
      <c r="U192" s="412">
        <f t="shared" si="62"/>
        <v>8.1875017423995313</v>
      </c>
      <c r="V192" s="421">
        <f t="shared" si="62"/>
        <v>8417.8988923076922</v>
      </c>
      <c r="W192" s="415">
        <f t="shared" si="62"/>
        <v>41.668340750425919</v>
      </c>
      <c r="X192" s="421">
        <f t="shared" si="62"/>
        <v>42640.999199999998</v>
      </c>
      <c r="Y192" s="412">
        <f t="shared" si="62"/>
        <v>8.5092785152883028</v>
      </c>
      <c r="Z192" s="421">
        <f t="shared" si="62"/>
        <v>8678.0201538461533</v>
      </c>
      <c r="AA192" s="415">
        <f t="shared" si="62"/>
        <v>50.177619265714206</v>
      </c>
      <c r="AB192" s="421">
        <f t="shared" si="62"/>
        <v>51319.019353846154</v>
      </c>
      <c r="AC192" s="412">
        <f t="shared" si="62"/>
        <v>8.339418664218444</v>
      </c>
      <c r="AD192" s="421">
        <f t="shared" si="62"/>
        <v>8566.1516076923072</v>
      </c>
      <c r="AE192" s="415">
        <f t="shared" si="62"/>
        <v>58.517037929932656</v>
      </c>
      <c r="AF192" s="421">
        <f t="shared" si="62"/>
        <v>59885.170961538446</v>
      </c>
      <c r="AG192" s="412">
        <f t="shared" si="62"/>
        <v>8.2193401236376911</v>
      </c>
      <c r="AH192" s="421">
        <f t="shared" si="62"/>
        <v>8481.4861769230774</v>
      </c>
      <c r="AI192" s="415">
        <f t="shared" si="62"/>
        <v>66.736378053570348</v>
      </c>
      <c r="AJ192" s="421">
        <f t="shared" si="62"/>
        <v>68366.657138461538</v>
      </c>
    </row>
    <row r="193" spans="3:63" ht="13.5" thickTop="1">
      <c r="C193" s="526" t="s">
        <v>266</v>
      </c>
      <c r="D193" s="527"/>
      <c r="E193" s="411">
        <f>+E168/'Key Dashboards-July 2017'!$N$37</f>
        <v>1.7217952090658437</v>
      </c>
      <c r="F193" s="419">
        <f>+E168/'Key Dashboards-July 2017'!$N$30</f>
        <v>1308.9948076923076</v>
      </c>
      <c r="G193" s="414">
        <f>+G168/'Key Dashboards-July 2017'!$N$37</f>
        <v>1.7217952090658437</v>
      </c>
      <c r="H193" s="423">
        <f>+G168/'Key Dashboards-July 2017'!$N$30</f>
        <v>1308.9948076923076</v>
      </c>
      <c r="I193" s="411">
        <f>+I168/'Key Dashboards-July 2017'!$N$37</f>
        <v>1.5551698580932385</v>
      </c>
      <c r="J193" s="419">
        <f>+I168/'Key Dashboards-July 2017'!$N$30</f>
        <v>1182.3178846153846</v>
      </c>
      <c r="K193" s="414">
        <f>+K168/'Key Dashboards-July 2017'!$N$37</f>
        <v>3.276965067159082</v>
      </c>
      <c r="L193" s="423">
        <f>+K168/'Key Dashboards-July 2017'!$N$30</f>
        <v>2491.312692307692</v>
      </c>
      <c r="M193" s="418">
        <f>+M168/'Key Dashboards-July 2017'!$N$37</f>
        <v>1.7217952090658437</v>
      </c>
      <c r="N193" s="425">
        <f>+M168/'Key Dashboards-July 2017'!$N$30</f>
        <v>1308.9948076923076</v>
      </c>
      <c r="O193" s="414">
        <f>+O168/'Key Dashboards-July 2017'!$N$37</f>
        <v>4.9987602762249255</v>
      </c>
      <c r="P193" s="423">
        <f>+O168/'Key Dashboards-July 2017'!$N$30</f>
        <v>3800.3074999999999</v>
      </c>
      <c r="Q193" s="418">
        <f>+Q168/'Key Dashboards-July 2017'!$N$37</f>
        <v>1.6662535097260516</v>
      </c>
      <c r="R193" s="425">
        <f>+Q168/'Key Dashboards-July 2017'!$N$30</f>
        <v>1266.7692307692307</v>
      </c>
      <c r="S193" s="414">
        <f>+S168/'Key Dashboards-July 2017'!$N$37</f>
        <v>6.6650137859509773</v>
      </c>
      <c r="T193" s="423">
        <f>+S168/'Key Dashboards-July 2017'!$N$30</f>
        <v>5067.0767307692304</v>
      </c>
      <c r="U193" s="418">
        <f>+U168/'Key Dashboards-July 2017'!$N$37</f>
        <v>1.7217952090658437</v>
      </c>
      <c r="V193" s="425">
        <f>+U168/'Key Dashboards-July 2017'!$N$30</f>
        <v>1308.9948076923076</v>
      </c>
      <c r="W193" s="414">
        <f>+W168/'Key Dashboards-July 2017'!$N$37</f>
        <v>8.3868089950168212</v>
      </c>
      <c r="X193" s="423">
        <f>+W168/'Key Dashboards-July 2017'!$N$30</f>
        <v>6376.0715384615378</v>
      </c>
      <c r="Y193" s="418">
        <f>+Y168/'Key Dashboards-July 2017'!$N$37</f>
        <v>1.6662535097260516</v>
      </c>
      <c r="Z193" s="425">
        <f>+Y168/'Key Dashboards-July 2017'!$N$30</f>
        <v>1266.7692307692307</v>
      </c>
      <c r="AA193" s="414">
        <f>+AA168/'Key Dashboards-July 2017'!$N$37</f>
        <v>10.053062504742872</v>
      </c>
      <c r="AB193" s="423">
        <f>+AA168/'Key Dashboards-July 2017'!$N$30</f>
        <v>7642.8407692307683</v>
      </c>
      <c r="AC193" s="418">
        <f>+AC168/'Key Dashboards-July 2017'!$N$37</f>
        <v>1.7217952090658437</v>
      </c>
      <c r="AD193" s="425">
        <f>+AC168/'Key Dashboards-July 2017'!$N$30</f>
        <v>1308.9948076923076</v>
      </c>
      <c r="AE193" s="414">
        <f>+AE168/'Key Dashboards-July 2017'!$N$37</f>
        <v>11.774857713808718</v>
      </c>
      <c r="AF193" s="423">
        <f>+AE168/'Key Dashboards-July 2017'!$N$30</f>
        <v>8951.8355769230766</v>
      </c>
      <c r="AG193" s="418">
        <f>+AG168/'Key Dashboards-July 2017'!$N$37</f>
        <v>1.7217952090658437</v>
      </c>
      <c r="AH193" s="425">
        <f>+AG168/'Key Dashboards-July 2017'!$N$30</f>
        <v>1308.9948076923076</v>
      </c>
      <c r="AI193" s="414">
        <f>+AI168/'Key Dashboards-July 2017'!$N$37</f>
        <v>13.496652922874562</v>
      </c>
      <c r="AJ193" s="423">
        <f>+AI168/'Key Dashboards-July 2017'!$N$30</f>
        <v>10260.830384615385</v>
      </c>
    </row>
    <row r="194" spans="3:63" ht="13.5" thickBot="1">
      <c r="C194" s="558" t="s">
        <v>352</v>
      </c>
      <c r="D194" s="559"/>
      <c r="E194" s="411">
        <f>+E169/'Key Dashboards-July 2017'!$N$37</f>
        <v>3.9494093542104244E-2</v>
      </c>
      <c r="F194" s="419">
        <f>+E169/'Key Dashboards-July 2017'!$N$30</f>
        <v>30.025384615384748</v>
      </c>
      <c r="G194" s="414">
        <f>+G169/'Key Dashboards-July 2017'!$N$37</f>
        <v>3.9494093542104244E-2</v>
      </c>
      <c r="H194" s="423">
        <f>+G169/'Key Dashboards-July 2017'!$N$30</f>
        <v>30.025384615384748</v>
      </c>
      <c r="I194" s="411">
        <f>+I169/'Key Dashboards-July 2017'!$N$37</f>
        <v>9.2821440315685677E-2</v>
      </c>
      <c r="J194" s="419">
        <f>+I169/'Key Dashboards-July 2017'!$N$30</f>
        <v>70.567500000000038</v>
      </c>
      <c r="K194" s="414">
        <f>+K169/'Key Dashboards-July 2017'!$N$37</f>
        <v>0.13231553385778974</v>
      </c>
      <c r="L194" s="423">
        <f>+K169/'Key Dashboards-July 2017'!$N$30</f>
        <v>100.59288461538465</v>
      </c>
      <c r="M194" s="418">
        <f>+M169/'Key Dashboards-July 2017'!$N$37</f>
        <v>5.3082235094730985E-2</v>
      </c>
      <c r="N194" s="425">
        <f>+M169/'Key Dashboards-July 2017'!$N$30</f>
        <v>40.355769230769234</v>
      </c>
      <c r="O194" s="414">
        <f>+O169/'Key Dashboards-July 2017'!$N$37</f>
        <v>0.18539776895252036</v>
      </c>
      <c r="P194" s="423">
        <f>+O169/'Key Dashboards-July 2017'!$N$30</f>
        <v>140.9486538461536</v>
      </c>
      <c r="Q194" s="418">
        <f>+Q169/'Key Dashboards-July 2017'!$N$37</f>
        <v>5.9229757417853413E-2</v>
      </c>
      <c r="R194" s="425">
        <f>+Q169/'Key Dashboards-July 2017'!$N$30</f>
        <v>45.029423076923052</v>
      </c>
      <c r="S194" s="414">
        <f>+S169/'Key Dashboards-July 2017'!$N$37</f>
        <v>0.24462752637037377</v>
      </c>
      <c r="T194" s="423">
        <f>+S169/'Key Dashboards-July 2017'!$N$30</f>
        <v>185.97807692307666</v>
      </c>
      <c r="U194" s="418">
        <f>+U169/'Key Dashboards-July 2017'!$N$37</f>
        <v>3.8993499102016008E-2</v>
      </c>
      <c r="V194" s="425">
        <f>+U169/'Key Dashboards-July 2017'!$N$30</f>
        <v>29.644807692307669</v>
      </c>
      <c r="W194" s="414">
        <f>+W169/'Key Dashboards-July 2017'!$N$37</f>
        <v>0.28362102547239049</v>
      </c>
      <c r="X194" s="423">
        <f>+W169/'Key Dashboards-July 2017'!$N$30</f>
        <v>215.62288461538489</v>
      </c>
      <c r="Y194" s="418">
        <f>+Y169/'Key Dashboards-July 2017'!$N$37</f>
        <v>0.37055472643108289</v>
      </c>
      <c r="Z194" s="425">
        <f>+Y169/'Key Dashboards-July 2017'!$N$30</f>
        <v>281.71423076923077</v>
      </c>
      <c r="AA194" s="414">
        <f>+AA169/'Key Dashboards-July 2017'!$N$37</f>
        <v>0.65417575190347377</v>
      </c>
      <c r="AB194" s="423">
        <f>+AA169/'Key Dashboards-July 2017'!$N$30</f>
        <v>497.33711538461591</v>
      </c>
      <c r="AC194" s="418">
        <f>+AC169/'Key Dashboards-July 2017'!$N$37</f>
        <v>3.8993499102016008E-2</v>
      </c>
      <c r="AD194" s="425">
        <f>+AC169/'Key Dashboards-July 2017'!$N$30</f>
        <v>29.644807692307669</v>
      </c>
      <c r="AE194" s="414">
        <f>+AE169/'Key Dashboards-July 2017'!$N$37</f>
        <v>0.69316925100549054</v>
      </c>
      <c r="AF194" s="423">
        <f>+AE169/'Key Dashboards-July 2017'!$N$30</f>
        <v>526.9819230769242</v>
      </c>
      <c r="AG194" s="418">
        <f>+AG169/'Key Dashboards-July 2017'!$N$37</f>
        <v>0.20362102547239017</v>
      </c>
      <c r="AH194" s="425">
        <f>+AG169/'Key Dashboards-July 2017'!$N$30</f>
        <v>154.80288461538461</v>
      </c>
      <c r="AI194" s="414">
        <f>+AI169/'Key Dashboards-July 2017'!$N$37</f>
        <v>0.89679027647787768</v>
      </c>
      <c r="AJ194" s="423">
        <f>+AI169/'Key Dashboards-July 2017'!$N$30</f>
        <v>681.78480769230657</v>
      </c>
    </row>
    <row r="195" spans="3:63" ht="14.25" thickTop="1" thickBot="1">
      <c r="C195" s="552" t="s">
        <v>149</v>
      </c>
      <c r="D195" s="553"/>
      <c r="E195" s="412">
        <f t="shared" ref="E195:AJ195" si="63">+SUM(E193:E194)</f>
        <v>1.7612893026079479</v>
      </c>
      <c r="F195" s="421">
        <f t="shared" si="63"/>
        <v>1339.0201923076925</v>
      </c>
      <c r="G195" s="415">
        <f t="shared" si="63"/>
        <v>1.7612893026079479</v>
      </c>
      <c r="H195" s="421">
        <f t="shared" si="63"/>
        <v>1339.0201923076925</v>
      </c>
      <c r="I195" s="412">
        <f t="shared" si="63"/>
        <v>1.6479912984089242</v>
      </c>
      <c r="J195" s="421">
        <f t="shared" si="63"/>
        <v>1252.8853846153847</v>
      </c>
      <c r="K195" s="415">
        <f t="shared" si="63"/>
        <v>3.4092806010168717</v>
      </c>
      <c r="L195" s="421">
        <f t="shared" si="63"/>
        <v>2591.9055769230768</v>
      </c>
      <c r="M195" s="412">
        <f t="shared" si="63"/>
        <v>1.7748774441605748</v>
      </c>
      <c r="N195" s="421">
        <f t="shared" si="63"/>
        <v>1349.3505769230769</v>
      </c>
      <c r="O195" s="415">
        <f t="shared" si="63"/>
        <v>5.1841580451774458</v>
      </c>
      <c r="P195" s="421">
        <f t="shared" si="63"/>
        <v>3941.2561538461537</v>
      </c>
      <c r="Q195" s="412">
        <f t="shared" si="63"/>
        <v>1.7254832671439049</v>
      </c>
      <c r="R195" s="421">
        <f t="shared" si="63"/>
        <v>1311.7986538461537</v>
      </c>
      <c r="S195" s="415">
        <f t="shared" si="63"/>
        <v>6.9096413123213507</v>
      </c>
      <c r="T195" s="421">
        <f t="shared" si="63"/>
        <v>5253.0548076923069</v>
      </c>
      <c r="U195" s="412">
        <f t="shared" si="63"/>
        <v>1.7607887081678597</v>
      </c>
      <c r="V195" s="421">
        <f t="shared" si="63"/>
        <v>1338.6396153846154</v>
      </c>
      <c r="W195" s="415">
        <f t="shared" si="63"/>
        <v>8.6704300204892117</v>
      </c>
      <c r="X195" s="421">
        <f t="shared" si="63"/>
        <v>6591.6944230769222</v>
      </c>
      <c r="Y195" s="412">
        <f t="shared" si="63"/>
        <v>2.0368082361571345</v>
      </c>
      <c r="Z195" s="421">
        <f t="shared" si="63"/>
        <v>1548.4834615384616</v>
      </c>
      <c r="AA195" s="415">
        <f t="shared" si="63"/>
        <v>10.707238256646345</v>
      </c>
      <c r="AB195" s="421">
        <f t="shared" si="63"/>
        <v>8140.1778846153838</v>
      </c>
      <c r="AC195" s="412">
        <f t="shared" si="63"/>
        <v>1.7607887081678597</v>
      </c>
      <c r="AD195" s="421">
        <f t="shared" si="63"/>
        <v>1338.6396153846154</v>
      </c>
      <c r="AE195" s="415">
        <f t="shared" si="63"/>
        <v>12.468026964814209</v>
      </c>
      <c r="AF195" s="421">
        <f t="shared" si="63"/>
        <v>9478.817500000001</v>
      </c>
      <c r="AG195" s="412">
        <f t="shared" si="63"/>
        <v>1.925416234538234</v>
      </c>
      <c r="AH195" s="421">
        <f t="shared" si="63"/>
        <v>1463.7976923076922</v>
      </c>
      <c r="AI195" s="415">
        <f t="shared" si="63"/>
        <v>14.39344319935244</v>
      </c>
      <c r="AJ195" s="421">
        <f t="shared" si="63"/>
        <v>10942.615192307692</v>
      </c>
    </row>
    <row r="196" spans="3:63" ht="14.25" thickTop="1" thickBot="1">
      <c r="C196" s="552" t="s">
        <v>134</v>
      </c>
      <c r="D196" s="553"/>
      <c r="E196" s="412">
        <f t="shared" ref="E196:AJ196" si="64">+E192-E195</f>
        <v>6.8557358963382162</v>
      </c>
      <c r="F196" s="421">
        <f t="shared" si="64"/>
        <v>7703.9217692307684</v>
      </c>
      <c r="G196" s="417">
        <f t="shared" si="64"/>
        <v>6.8557358963382162</v>
      </c>
      <c r="H196" s="424">
        <f t="shared" si="64"/>
        <v>7398.2325692307677</v>
      </c>
      <c r="I196" s="412">
        <f t="shared" si="64"/>
        <v>6.7478819288212586</v>
      </c>
      <c r="J196" s="421">
        <f t="shared" si="64"/>
        <v>7321.9157384615391</v>
      </c>
      <c r="K196" s="417">
        <f t="shared" si="64"/>
        <v>13.603617825159478</v>
      </c>
      <c r="L196" s="424">
        <f t="shared" si="64"/>
        <v>14720.14830769231</v>
      </c>
      <c r="M196" s="412">
        <f t="shared" si="64"/>
        <v>6.5871140788680567</v>
      </c>
      <c r="N196" s="421">
        <f t="shared" si="64"/>
        <v>7201.2223153846162</v>
      </c>
      <c r="O196" s="417">
        <f t="shared" si="64"/>
        <v>20.190731904027537</v>
      </c>
      <c r="P196" s="424">
        <f t="shared" si="64"/>
        <v>21921.370623076924</v>
      </c>
      <c r="Q196" s="412">
        <f t="shared" si="64"/>
        <v>6.3804657916774969</v>
      </c>
      <c r="R196" s="421">
        <f t="shared" si="64"/>
        <v>7048.674876923078</v>
      </c>
      <c r="S196" s="417">
        <f t="shared" si="64"/>
        <v>26.571197695705028</v>
      </c>
      <c r="T196" s="424">
        <f t="shared" si="64"/>
        <v>28970.0455</v>
      </c>
      <c r="U196" s="412">
        <f t="shared" si="64"/>
        <v>6.4267130342316712</v>
      </c>
      <c r="V196" s="421">
        <f t="shared" si="64"/>
        <v>7079.2592769230769</v>
      </c>
      <c r="W196" s="417">
        <f t="shared" si="64"/>
        <v>32.997910729936706</v>
      </c>
      <c r="X196" s="424">
        <f t="shared" si="64"/>
        <v>36049.304776923076</v>
      </c>
      <c r="Y196" s="412">
        <f t="shared" si="64"/>
        <v>6.4724702791311683</v>
      </c>
      <c r="Z196" s="421">
        <f t="shared" si="64"/>
        <v>7129.5366923076917</v>
      </c>
      <c r="AA196" s="417">
        <f t="shared" si="64"/>
        <v>39.470381009067864</v>
      </c>
      <c r="AB196" s="424">
        <f t="shared" si="64"/>
        <v>43178.841469230771</v>
      </c>
      <c r="AC196" s="412">
        <f t="shared" si="64"/>
        <v>6.5786299560505839</v>
      </c>
      <c r="AD196" s="421">
        <f t="shared" si="64"/>
        <v>7227.5119923076918</v>
      </c>
      <c r="AE196" s="417">
        <f t="shared" si="64"/>
        <v>46.049010965118448</v>
      </c>
      <c r="AF196" s="424">
        <f t="shared" si="64"/>
        <v>50406.353461538441</v>
      </c>
      <c r="AG196" s="412">
        <f t="shared" si="64"/>
        <v>6.2939238890994567</v>
      </c>
      <c r="AH196" s="421">
        <f t="shared" si="64"/>
        <v>7017.6884846153853</v>
      </c>
      <c r="AI196" s="417">
        <f t="shared" si="64"/>
        <v>52.342934854217908</v>
      </c>
      <c r="AJ196" s="424">
        <f t="shared" si="64"/>
        <v>57424.041946153848</v>
      </c>
    </row>
    <row r="197" spans="3:63" ht="13.5" thickTop="1">
      <c r="C197" s="292"/>
      <c r="D197" s="91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1"/>
      <c r="AL197" s="91"/>
    </row>
    <row r="198" spans="3:63"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</row>
    <row r="199" spans="3:63">
      <c r="C199" s="292"/>
      <c r="D199" s="91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289"/>
      <c r="AC199" s="289"/>
      <c r="AD199" s="289"/>
      <c r="AE199" s="289"/>
      <c r="AF199" s="289"/>
      <c r="AG199" s="289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</row>
    <row r="200" spans="3:63">
      <c r="C200" s="292"/>
      <c r="D200" s="91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  <c r="AA200" s="290"/>
      <c r="AB200" s="290"/>
      <c r="AC200" s="290"/>
      <c r="AD200" s="290"/>
      <c r="AE200" s="290"/>
      <c r="AF200" s="290"/>
      <c r="AG200" s="290"/>
      <c r="AH200" s="91"/>
      <c r="AI200" s="91"/>
      <c r="AJ200" s="91"/>
      <c r="AK200" s="91"/>
      <c r="AL200" s="91"/>
      <c r="AM200" s="91"/>
      <c r="AN200" s="91"/>
      <c r="AO200" s="91"/>
      <c r="AP200" s="91"/>
    </row>
    <row r="201" spans="3:63">
      <c r="C201" s="292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</row>
    <row r="202" spans="3:63">
      <c r="C202" s="292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</row>
    <row r="203" spans="3:63">
      <c r="C203" s="292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</row>
    <row r="204" spans="3:63">
      <c r="C204" s="292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</row>
    <row r="205" spans="3:63">
      <c r="C205" s="292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</row>
    <row r="206" spans="3:63">
      <c r="C206" s="292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</row>
  </sheetData>
  <sheetProtection algorithmName="SHA-512" hashValue="FtKEhCW6/p5W3Vv6VynP5rQq6zyjRsj3hA7fJFWcgbiFdpmn2D9jfOJ1/CIIFpR4wqrH5emuGd430oWri0qKPQ==" saltValue="SPlYnbHrJg0nYvibnXw+ag==" spinCount="100000" sheet="1" objects="1" scenarios="1"/>
  <mergeCells count="112">
    <mergeCell ref="U149:X149"/>
    <mergeCell ref="Y149:AB149"/>
    <mergeCell ref="AC149:AF149"/>
    <mergeCell ref="AG149:AJ149"/>
    <mergeCell ref="AE174:AF174"/>
    <mergeCell ref="AG174:AH174"/>
    <mergeCell ref="AI174:AJ174"/>
    <mergeCell ref="AC174:AD174"/>
    <mergeCell ref="U173:X173"/>
    <mergeCell ref="Y173:AB173"/>
    <mergeCell ref="AC173:AF173"/>
    <mergeCell ref="AG173:AJ173"/>
    <mergeCell ref="Y174:Z174"/>
    <mergeCell ref="AA174:AB174"/>
    <mergeCell ref="I173:L173"/>
    <mergeCell ref="M173:P173"/>
    <mergeCell ref="Q173:T173"/>
    <mergeCell ref="C173:D174"/>
    <mergeCell ref="O174:P174"/>
    <mergeCell ref="Q174:R174"/>
    <mergeCell ref="S174:T174"/>
    <mergeCell ref="U174:V174"/>
    <mergeCell ref="W174:X174"/>
    <mergeCell ref="E174:F174"/>
    <mergeCell ref="G174:H174"/>
    <mergeCell ref="I174:J174"/>
    <mergeCell ref="K174:L174"/>
    <mergeCell ref="M174:N174"/>
    <mergeCell ref="C177:D177"/>
    <mergeCell ref="C179:D179"/>
    <mergeCell ref="C170:D170"/>
    <mergeCell ref="C171:D171"/>
    <mergeCell ref="C162:D162"/>
    <mergeCell ref="C163:D163"/>
    <mergeCell ref="C164:D164"/>
    <mergeCell ref="C165:D165"/>
    <mergeCell ref="C166:D166"/>
    <mergeCell ref="C167:D167"/>
    <mergeCell ref="C196:D196"/>
    <mergeCell ref="C181:D181"/>
    <mergeCell ref="C182:D182"/>
    <mergeCell ref="C183:D183"/>
    <mergeCell ref="C185:D185"/>
    <mergeCell ref="C184:D184"/>
    <mergeCell ref="C191:D191"/>
    <mergeCell ref="C186:D186"/>
    <mergeCell ref="C187:D187"/>
    <mergeCell ref="C188:D188"/>
    <mergeCell ref="C189:D189"/>
    <mergeCell ref="C190:D190"/>
    <mergeCell ref="C194:D194"/>
    <mergeCell ref="C192:D192"/>
    <mergeCell ref="C195:D195"/>
    <mergeCell ref="I149:L149"/>
    <mergeCell ref="M149:P149"/>
    <mergeCell ref="Q149:T149"/>
    <mergeCell ref="C178:D178"/>
    <mergeCell ref="C193:D193"/>
    <mergeCell ref="C159:D159"/>
    <mergeCell ref="C160:D160"/>
    <mergeCell ref="C150:D150"/>
    <mergeCell ref="C158:D158"/>
    <mergeCell ref="C153:D153"/>
    <mergeCell ref="C151:D151"/>
    <mergeCell ref="C154:D154"/>
    <mergeCell ref="C148:D149"/>
    <mergeCell ref="E149:H149"/>
    <mergeCell ref="C168:D168"/>
    <mergeCell ref="C169:D169"/>
    <mergeCell ref="C157:D157"/>
    <mergeCell ref="C175:D175"/>
    <mergeCell ref="C155:D155"/>
    <mergeCell ref="C156:D156"/>
    <mergeCell ref="C180:D180"/>
    <mergeCell ref="C152:D152"/>
    <mergeCell ref="C161:D161"/>
    <mergeCell ref="C176:D176"/>
    <mergeCell ref="B148:B149"/>
    <mergeCell ref="B173:B174"/>
    <mergeCell ref="E173:H173"/>
    <mergeCell ref="C141:D141"/>
    <mergeCell ref="C143:D143"/>
    <mergeCell ref="C144:D144"/>
    <mergeCell ref="C145:D145"/>
    <mergeCell ref="C146:D146"/>
    <mergeCell ref="C147:D147"/>
    <mergeCell ref="C114:D114"/>
    <mergeCell ref="C115:D115"/>
    <mergeCell ref="C116:D116"/>
    <mergeCell ref="C84:D84"/>
    <mergeCell ref="C85:D85"/>
    <mergeCell ref="C86:D86"/>
    <mergeCell ref="C87:D87"/>
    <mergeCell ref="C88:D88"/>
    <mergeCell ref="C89:D89"/>
    <mergeCell ref="C90:D90"/>
    <mergeCell ref="C27:D27"/>
    <mergeCell ref="C28:D28"/>
    <mergeCell ref="C29:D29"/>
    <mergeCell ref="C30:D30"/>
    <mergeCell ref="C31:D31"/>
    <mergeCell ref="C110:D110"/>
    <mergeCell ref="C111:D111"/>
    <mergeCell ref="C112:D112"/>
    <mergeCell ref="C113:D113"/>
    <mergeCell ref="C56:D56"/>
    <mergeCell ref="C57:D57"/>
    <mergeCell ref="C58:D58"/>
    <mergeCell ref="C59:D59"/>
    <mergeCell ref="C60:D60"/>
    <mergeCell ref="C61:D61"/>
    <mergeCell ref="C62:D62"/>
  </mergeCells>
  <conditionalFormatting sqref="E153:E154 E155:AJ156 E152:G152 E166:AJ167 E157:G165 E170:AJ171 E168:G169 I152:AJ154 I157:AJ165 I168:AJ169 E176:H176 H196 F180:H180 F195:G196 G191:H192 G177:H179 E150:AJ151">
    <cfRule type="cellIs" dxfId="478" priority="999" operator="lessThan">
      <formula>0</formula>
    </cfRule>
  </conditionalFormatting>
  <conditionalFormatting sqref="E192">
    <cfRule type="cellIs" dxfId="477" priority="976" operator="lessThan">
      <formula>0</formula>
    </cfRule>
  </conditionalFormatting>
  <conditionalFormatting sqref="E192">
    <cfRule type="cellIs" dxfId="476" priority="975" operator="lessThan">
      <formula>0</formula>
    </cfRule>
  </conditionalFormatting>
  <conditionalFormatting sqref="E180">
    <cfRule type="cellIs" dxfId="475" priority="986" operator="lessThan">
      <formula>0</formula>
    </cfRule>
  </conditionalFormatting>
  <conditionalFormatting sqref="E180">
    <cfRule type="cellIs" dxfId="474" priority="985" operator="lessThan">
      <formula>0</formula>
    </cfRule>
  </conditionalFormatting>
  <conditionalFormatting sqref="E191">
    <cfRule type="cellIs" dxfId="473" priority="982" operator="lessThan">
      <formula>0</formula>
    </cfRule>
  </conditionalFormatting>
  <conditionalFormatting sqref="E191">
    <cfRule type="cellIs" dxfId="472" priority="981" operator="lessThan">
      <formula>0</formula>
    </cfRule>
  </conditionalFormatting>
  <conditionalFormatting sqref="E196">
    <cfRule type="cellIs" dxfId="471" priority="962" operator="lessThan">
      <formula>0</formula>
    </cfRule>
  </conditionalFormatting>
  <conditionalFormatting sqref="E196">
    <cfRule type="cellIs" dxfId="470" priority="961" operator="lessThan">
      <formula>0</formula>
    </cfRule>
  </conditionalFormatting>
  <conditionalFormatting sqref="E195">
    <cfRule type="cellIs" dxfId="469" priority="968" operator="lessThan">
      <formula>0</formula>
    </cfRule>
  </conditionalFormatting>
  <conditionalFormatting sqref="E195">
    <cfRule type="cellIs" dxfId="468" priority="967" operator="lessThan">
      <formula>0</formula>
    </cfRule>
  </conditionalFormatting>
  <conditionalFormatting sqref="I155 AD155:AE155">
    <cfRule type="cellIs" dxfId="467" priority="901" operator="lessThan">
      <formula>0</formula>
    </cfRule>
  </conditionalFormatting>
  <conditionalFormatting sqref="E166:AJ166">
    <cfRule type="cellIs" dxfId="466" priority="900" operator="lessThan">
      <formula>0</formula>
    </cfRule>
  </conditionalFormatting>
  <conditionalFormatting sqref="I166 AD166:AE166">
    <cfRule type="cellIs" dxfId="465" priority="899" operator="lessThan">
      <formula>0</formula>
    </cfRule>
  </conditionalFormatting>
  <conditionalFormatting sqref="E167:AJ167">
    <cfRule type="cellIs" dxfId="464" priority="898" operator="lessThan">
      <formula>0</formula>
    </cfRule>
  </conditionalFormatting>
  <conditionalFormatting sqref="I167 AD167:AE167">
    <cfRule type="cellIs" dxfId="463" priority="897" operator="lessThan">
      <formula>0</formula>
    </cfRule>
  </conditionalFormatting>
  <conditionalFormatting sqref="E170:AJ170">
    <cfRule type="cellIs" dxfId="462" priority="896" operator="lessThan">
      <formula>0</formula>
    </cfRule>
  </conditionalFormatting>
  <conditionalFormatting sqref="I170 AD170:AE170">
    <cfRule type="cellIs" dxfId="461" priority="895" operator="lessThan">
      <formula>0</formula>
    </cfRule>
  </conditionalFormatting>
  <conditionalFormatting sqref="E171:AJ171">
    <cfRule type="cellIs" dxfId="460" priority="894" operator="lessThan">
      <formula>0</formula>
    </cfRule>
  </conditionalFormatting>
  <conditionalFormatting sqref="I171 AD171:AE171">
    <cfRule type="cellIs" dxfId="459" priority="893" operator="lessThan">
      <formula>0</formula>
    </cfRule>
  </conditionalFormatting>
  <conditionalFormatting sqref="U170">
    <cfRule type="cellIs" dxfId="458" priority="892" operator="lessThan">
      <formula>0</formula>
    </cfRule>
  </conditionalFormatting>
  <conditionalFormatting sqref="U171">
    <cfRule type="cellIs" dxfId="457" priority="891" operator="lessThan">
      <formula>0</formula>
    </cfRule>
  </conditionalFormatting>
  <conditionalFormatting sqref="AJ166">
    <cfRule type="cellIs" dxfId="456" priority="870" operator="lessThan">
      <formula>0</formula>
    </cfRule>
  </conditionalFormatting>
  <conditionalFormatting sqref="AJ167">
    <cfRule type="cellIs" dxfId="455" priority="869" operator="lessThan">
      <formula>0</formula>
    </cfRule>
  </conditionalFormatting>
  <conditionalFormatting sqref="AJ170">
    <cfRule type="cellIs" dxfId="454" priority="868" operator="lessThan">
      <formula>0</formula>
    </cfRule>
  </conditionalFormatting>
  <conditionalFormatting sqref="AJ171">
    <cfRule type="cellIs" dxfId="453" priority="867" operator="lessThan">
      <formula>0</formula>
    </cfRule>
  </conditionalFormatting>
  <conditionalFormatting sqref="H166">
    <cfRule type="cellIs" dxfId="452" priority="866" operator="lessThan">
      <formula>0</formula>
    </cfRule>
  </conditionalFormatting>
  <conditionalFormatting sqref="H167">
    <cfRule type="cellIs" dxfId="451" priority="865" operator="lessThan">
      <formula>0</formula>
    </cfRule>
  </conditionalFormatting>
  <conditionalFormatting sqref="H170">
    <cfRule type="cellIs" dxfId="450" priority="864" operator="lessThan">
      <formula>0</formula>
    </cfRule>
  </conditionalFormatting>
  <conditionalFormatting sqref="H171">
    <cfRule type="cellIs" dxfId="449" priority="863" operator="lessThan">
      <formula>0</formula>
    </cfRule>
  </conditionalFormatting>
  <conditionalFormatting sqref="F153:G154">
    <cfRule type="cellIs" dxfId="448" priority="862" operator="lessThan">
      <formula>0</formula>
    </cfRule>
  </conditionalFormatting>
  <conditionalFormatting sqref="H152:H154">
    <cfRule type="cellIs" dxfId="447" priority="861" operator="lessThan">
      <formula>0</formula>
    </cfRule>
  </conditionalFormatting>
  <conditionalFormatting sqref="H157:H165">
    <cfRule type="cellIs" dxfId="446" priority="860" operator="lessThan">
      <formula>0</formula>
    </cfRule>
  </conditionalFormatting>
  <conditionalFormatting sqref="H168:H169">
    <cfRule type="cellIs" dxfId="445" priority="859" operator="lessThan">
      <formula>0</formula>
    </cfRule>
  </conditionalFormatting>
  <conditionalFormatting sqref="AC180">
    <cfRule type="cellIs" dxfId="444" priority="191" operator="lessThan">
      <formula>0</formula>
    </cfRule>
  </conditionalFormatting>
  <conditionalFormatting sqref="K194:L194">
    <cfRule type="cellIs" dxfId="443" priority="296" operator="lessThan">
      <formula>0</formula>
    </cfRule>
  </conditionalFormatting>
  <conditionalFormatting sqref="V182:X182 U176:X177 X196 V180:X180 W178:X179 V193:X193 V195:W196 W191:X192">
    <cfRule type="cellIs" dxfId="442" priority="242" operator="lessThan">
      <formula>0</formula>
    </cfRule>
  </conditionalFormatting>
  <conditionalFormatting sqref="U180">
    <cfRule type="cellIs" dxfId="441" priority="241" operator="lessThan">
      <formula>0</formula>
    </cfRule>
  </conditionalFormatting>
  <conditionalFormatting sqref="T195">
    <cfRule type="cellIs" dxfId="440" priority="254" operator="lessThan">
      <formula>0</formula>
    </cfRule>
  </conditionalFormatting>
  <conditionalFormatting sqref="T195">
    <cfRule type="cellIs" dxfId="439" priority="253" operator="lessThan">
      <formula>0</formula>
    </cfRule>
  </conditionalFormatting>
  <conditionalFormatting sqref="L195">
    <cfRule type="cellIs" dxfId="438" priority="303" operator="lessThan">
      <formula>0</formula>
    </cfRule>
  </conditionalFormatting>
  <conditionalFormatting sqref="AG192">
    <cfRule type="cellIs" dxfId="437" priority="162" operator="lessThan">
      <formula>0</formula>
    </cfRule>
  </conditionalFormatting>
  <conditionalFormatting sqref="AG192">
    <cfRule type="cellIs" dxfId="436" priority="161" operator="lessThan">
      <formula>0</formula>
    </cfRule>
  </conditionalFormatting>
  <conditionalFormatting sqref="E174">
    <cfRule type="cellIs" dxfId="435" priority="813" operator="lessThan">
      <formula>0</formula>
    </cfRule>
  </conditionalFormatting>
  <conditionalFormatting sqref="H195">
    <cfRule type="cellIs" dxfId="434" priority="817" operator="lessThan">
      <formula>0</formula>
    </cfRule>
  </conditionalFormatting>
  <conditionalFormatting sqref="H195">
    <cfRule type="cellIs" dxfId="433" priority="816" operator="lessThan">
      <formula>0</formula>
    </cfRule>
  </conditionalFormatting>
  <conditionalFormatting sqref="AH192">
    <cfRule type="cellIs" dxfId="432" priority="143" operator="lessThan">
      <formula>0</formula>
    </cfRule>
  </conditionalFormatting>
  <conditionalFormatting sqref="G174">
    <cfRule type="cellIs" dxfId="431" priority="811" operator="lessThan">
      <formula>0</formula>
    </cfRule>
  </conditionalFormatting>
  <conditionalFormatting sqref="AG182">
    <cfRule type="cellIs" dxfId="430" priority="156" operator="lessThan">
      <formula>0</formula>
    </cfRule>
  </conditionalFormatting>
  <conditionalFormatting sqref="AD191">
    <cfRule type="cellIs" dxfId="429" priority="169" operator="lessThan">
      <formula>0</formula>
    </cfRule>
  </conditionalFormatting>
  <conditionalFormatting sqref="AC182">
    <cfRule type="cellIs" dxfId="428" priority="181" operator="lessThan">
      <formula>0</formula>
    </cfRule>
  </conditionalFormatting>
  <conditionalFormatting sqref="Z192">
    <cfRule type="cellIs" dxfId="427" priority="193" operator="lessThan">
      <formula>0</formula>
    </cfRule>
  </conditionalFormatting>
  <conditionalFormatting sqref="Y193">
    <cfRule type="cellIs" dxfId="426" priority="205" operator="lessThan">
      <formula>0</formula>
    </cfRule>
  </conditionalFormatting>
  <conditionalFormatting sqref="Z182:AB182 Y176:AB177 AB196 Z180:AB180 AA178:AB179 Z193:AB193 Z195:AA196 AA191:AB192">
    <cfRule type="cellIs" dxfId="425" priority="217" operator="lessThan">
      <formula>0</formula>
    </cfRule>
  </conditionalFormatting>
  <conditionalFormatting sqref="X195">
    <cfRule type="cellIs" dxfId="424" priority="229" operator="lessThan">
      <formula>0</formula>
    </cfRule>
  </conditionalFormatting>
  <conditionalFormatting sqref="Q180">
    <cfRule type="cellIs" dxfId="423" priority="265" operator="lessThan">
      <formula>0</formula>
    </cfRule>
  </conditionalFormatting>
  <conditionalFormatting sqref="Q191">
    <cfRule type="cellIs" dxfId="422" priority="264" operator="lessThan">
      <formula>0</formula>
    </cfRule>
  </conditionalFormatting>
  <conditionalFormatting sqref="I191">
    <cfRule type="cellIs" dxfId="421" priority="314" operator="lessThan">
      <formula>0</formula>
    </cfRule>
  </conditionalFormatting>
  <conditionalFormatting sqref="I191">
    <cfRule type="cellIs" dxfId="420" priority="313" operator="lessThan">
      <formula>0</formula>
    </cfRule>
  </conditionalFormatting>
  <conditionalFormatting sqref="P195">
    <cfRule type="cellIs" dxfId="419" priority="278" operator="lessThan">
      <formula>0</formula>
    </cfRule>
  </conditionalFormatting>
  <conditionalFormatting sqref="I174">
    <cfRule type="cellIs" dxfId="418" priority="302" operator="lessThan">
      <formula>0</formula>
    </cfRule>
  </conditionalFormatting>
  <conditionalFormatting sqref="N192">
    <cfRule type="cellIs" dxfId="417" priority="268" operator="lessThan">
      <formula>0</formula>
    </cfRule>
  </conditionalFormatting>
  <conditionalFormatting sqref="R192">
    <cfRule type="cellIs" dxfId="416" priority="243" operator="lessThan">
      <formula>0</formula>
    </cfRule>
  </conditionalFormatting>
  <conditionalFormatting sqref="N182:P182 M176:P177 P196 N180:P180 O178:P179 N193:P193 N195:O196 O191:P192">
    <cfRule type="cellIs" dxfId="415" priority="292" operator="lessThan">
      <formula>0</formula>
    </cfRule>
  </conditionalFormatting>
  <conditionalFormatting sqref="M180">
    <cfRule type="cellIs" dxfId="414" priority="291" operator="lessThan">
      <formula>0</formula>
    </cfRule>
  </conditionalFormatting>
  <conditionalFormatting sqref="Q196">
    <cfRule type="cellIs" dxfId="413" priority="258" operator="lessThan">
      <formula>0</formula>
    </cfRule>
  </conditionalFormatting>
  <conditionalFormatting sqref="I196">
    <cfRule type="cellIs" dxfId="412" priority="308" operator="lessThan">
      <formula>0</formula>
    </cfRule>
  </conditionalFormatting>
  <conditionalFormatting sqref="U196">
    <cfRule type="cellIs" dxfId="411" priority="232" operator="lessThan">
      <formula>0</formula>
    </cfRule>
  </conditionalFormatting>
  <conditionalFormatting sqref="U182">
    <cfRule type="cellIs" dxfId="410" priority="231" operator="lessThan">
      <formula>0</formula>
    </cfRule>
  </conditionalFormatting>
  <conditionalFormatting sqref="M182">
    <cfRule type="cellIs" dxfId="409" priority="281" operator="lessThan">
      <formula>0</formula>
    </cfRule>
  </conditionalFormatting>
  <conditionalFormatting sqref="M193">
    <cfRule type="cellIs" dxfId="408" priority="280" operator="lessThan">
      <formula>0</formula>
    </cfRule>
  </conditionalFormatting>
  <conditionalFormatting sqref="I195">
    <cfRule type="cellIs" dxfId="407" priority="310" operator="lessThan">
      <formula>0</formula>
    </cfRule>
  </conditionalFormatting>
  <conditionalFormatting sqref="V194:X194">
    <cfRule type="cellIs" dxfId="406" priority="221" operator="lessThan">
      <formula>0</formula>
    </cfRule>
  </conditionalFormatting>
  <conditionalFormatting sqref="U194">
    <cfRule type="cellIs" dxfId="405" priority="220" operator="lessThan">
      <formula>0</formula>
    </cfRule>
  </conditionalFormatting>
  <conditionalFormatting sqref="M194">
    <cfRule type="cellIs" dxfId="404" priority="270" operator="lessThan">
      <formula>0</formula>
    </cfRule>
  </conditionalFormatting>
  <conditionalFormatting sqref="N191">
    <cfRule type="cellIs" dxfId="403" priority="269" operator="lessThan">
      <formula>0</formula>
    </cfRule>
  </conditionalFormatting>
  <conditionalFormatting sqref="U191">
    <cfRule type="cellIs" dxfId="402" priority="238" operator="lessThan">
      <formula>0</formula>
    </cfRule>
  </conditionalFormatting>
  <conditionalFormatting sqref="Y195">
    <cfRule type="cellIs" dxfId="401" priority="210" operator="lessThan">
      <formula>0</formula>
    </cfRule>
  </conditionalFormatting>
  <conditionalFormatting sqref="Y195">
    <cfRule type="cellIs" dxfId="400" priority="209" operator="lessThan">
      <formula>0</formula>
    </cfRule>
  </conditionalFormatting>
  <conditionalFormatting sqref="Q195">
    <cfRule type="cellIs" dxfId="399" priority="259" operator="lessThan">
      <formula>0</formula>
    </cfRule>
  </conditionalFormatting>
  <conditionalFormatting sqref="X195">
    <cfRule type="cellIs" dxfId="398" priority="228" operator="lessThan">
      <formula>0</formula>
    </cfRule>
  </conditionalFormatting>
  <conditionalFormatting sqref="M180">
    <cfRule type="cellIs" dxfId="397" priority="290" operator="lessThan">
      <formula>0</formula>
    </cfRule>
  </conditionalFormatting>
  <conditionalFormatting sqref="Y179:Z179">
    <cfRule type="cellIs" dxfId="396" priority="199" operator="lessThan">
      <formula>0</formula>
    </cfRule>
  </conditionalFormatting>
  <conditionalFormatting sqref="AC191">
    <cfRule type="cellIs" dxfId="395" priority="189" operator="lessThan">
      <formula>0</formula>
    </cfRule>
  </conditionalFormatting>
  <conditionalFormatting sqref="U174">
    <cfRule type="cellIs" dxfId="394" priority="227" operator="lessThan">
      <formula>0</formula>
    </cfRule>
  </conditionalFormatting>
  <conditionalFormatting sqref="V192">
    <cfRule type="cellIs" dxfId="393" priority="218" operator="lessThan">
      <formula>0</formula>
    </cfRule>
  </conditionalFormatting>
  <conditionalFormatting sqref="AG194">
    <cfRule type="cellIs" dxfId="392" priority="145" operator="lessThan">
      <formula>0</formula>
    </cfRule>
  </conditionalFormatting>
  <conditionalFormatting sqref="AH191">
    <cfRule type="cellIs" dxfId="391" priority="144" operator="lessThan">
      <formula>0</formula>
    </cfRule>
  </conditionalFormatting>
  <conditionalFormatting sqref="Y196">
    <cfRule type="cellIs" dxfId="390" priority="207" operator="lessThan">
      <formula>0</formula>
    </cfRule>
  </conditionalFormatting>
  <conditionalFormatting sqref="Y182">
    <cfRule type="cellIs" dxfId="389" priority="206" operator="lessThan">
      <formula>0</formula>
    </cfRule>
  </conditionalFormatting>
  <conditionalFormatting sqref="Y196">
    <cfRule type="cellIs" dxfId="388" priority="208" operator="lessThan">
      <formula>0</formula>
    </cfRule>
  </conditionalFormatting>
  <conditionalFormatting sqref="Y192">
    <cfRule type="cellIs" dxfId="387" priority="211" operator="lessThan">
      <formula>0</formula>
    </cfRule>
  </conditionalFormatting>
  <conditionalFormatting sqref="Y192">
    <cfRule type="cellIs" dxfId="386" priority="212" operator="lessThan">
      <formula>0</formula>
    </cfRule>
  </conditionalFormatting>
  <conditionalFormatting sqref="Y191">
    <cfRule type="cellIs" dxfId="385" priority="213" operator="lessThan">
      <formula>0</formula>
    </cfRule>
  </conditionalFormatting>
  <conditionalFormatting sqref="AJ195">
    <cfRule type="cellIs" dxfId="384" priority="154" operator="lessThan">
      <formula>0</formula>
    </cfRule>
  </conditionalFormatting>
  <conditionalFormatting sqref="AJ195">
    <cfRule type="cellIs" dxfId="383" priority="153" operator="lessThan">
      <formula>0</formula>
    </cfRule>
  </conditionalFormatting>
  <conditionalFormatting sqref="AG174">
    <cfRule type="cellIs" dxfId="382" priority="152" operator="lessThan">
      <formula>0</formula>
    </cfRule>
  </conditionalFormatting>
  <conditionalFormatting sqref="AI174">
    <cfRule type="cellIs" dxfId="381" priority="151" operator="lessThan">
      <formula>0</formula>
    </cfRule>
  </conditionalFormatting>
  <conditionalFormatting sqref="M174">
    <cfRule type="cellIs" dxfId="380" priority="277" operator="lessThan">
      <formula>0</formula>
    </cfRule>
  </conditionalFormatting>
  <conditionalFormatting sqref="O174">
    <cfRule type="cellIs" dxfId="379" priority="276" operator="lessThan">
      <formula>0</formula>
    </cfRule>
  </conditionalFormatting>
  <conditionalFormatting sqref="M178:N178">
    <cfRule type="cellIs" dxfId="378" priority="275" operator="lessThan">
      <formula>0</formula>
    </cfRule>
  </conditionalFormatting>
  <conditionalFormatting sqref="M179:N179">
    <cfRule type="cellIs" dxfId="377" priority="274" operator="lessThan">
      <formula>0</formula>
    </cfRule>
  </conditionalFormatting>
  <conditionalFormatting sqref="M191">
    <cfRule type="cellIs" dxfId="376" priority="289" operator="lessThan">
      <formula>0</formula>
    </cfRule>
  </conditionalFormatting>
  <conditionalFormatting sqref="I196">
    <cfRule type="cellIs" dxfId="375" priority="307" operator="lessThan">
      <formula>0</formula>
    </cfRule>
  </conditionalFormatting>
  <conditionalFormatting sqref="L195">
    <cfRule type="cellIs" dxfId="374" priority="304" operator="lessThan">
      <formula>0</formula>
    </cfRule>
  </conditionalFormatting>
  <conditionalFormatting sqref="F191">
    <cfRule type="cellIs" dxfId="373" priority="557" operator="lessThan">
      <formula>0</formula>
    </cfRule>
  </conditionalFormatting>
  <conditionalFormatting sqref="F192">
    <cfRule type="cellIs" dxfId="372" priority="556" operator="lessThan">
      <formula>0</formula>
    </cfRule>
  </conditionalFormatting>
  <conditionalFormatting sqref="R194:T194">
    <cfRule type="cellIs" dxfId="371" priority="246" operator="lessThan">
      <formula>0</formula>
    </cfRule>
  </conditionalFormatting>
  <conditionalFormatting sqref="Q194">
    <cfRule type="cellIs" dxfId="370" priority="245" operator="lessThan">
      <formula>0</formula>
    </cfRule>
  </conditionalFormatting>
  <conditionalFormatting sqref="R191">
    <cfRule type="cellIs" dxfId="369" priority="244" operator="lessThan">
      <formula>0</formula>
    </cfRule>
  </conditionalFormatting>
  <conditionalFormatting sqref="Q192">
    <cfRule type="cellIs" dxfId="368" priority="262" operator="lessThan">
      <formula>0</formula>
    </cfRule>
  </conditionalFormatting>
  <conditionalFormatting sqref="Q192">
    <cfRule type="cellIs" dxfId="367" priority="261" operator="lessThan">
      <formula>0</formula>
    </cfRule>
  </conditionalFormatting>
  <conditionalFormatting sqref="Q195">
    <cfRule type="cellIs" dxfId="366" priority="260" operator="lessThan">
      <formula>0</formula>
    </cfRule>
  </conditionalFormatting>
  <conditionalFormatting sqref="V191">
    <cfRule type="cellIs" dxfId="365" priority="219" operator="lessThan">
      <formula>0</formula>
    </cfRule>
  </conditionalFormatting>
  <conditionalFormatting sqref="Y180">
    <cfRule type="cellIs" dxfId="364" priority="216" operator="lessThan">
      <formula>0</formula>
    </cfRule>
  </conditionalFormatting>
  <conditionalFormatting sqref="U195">
    <cfRule type="cellIs" dxfId="363" priority="234" operator="lessThan">
      <formula>0</formula>
    </cfRule>
  </conditionalFormatting>
  <conditionalFormatting sqref="U196">
    <cfRule type="cellIs" dxfId="362" priority="233" operator="lessThan">
      <formula>0</formula>
    </cfRule>
  </conditionalFormatting>
  <conditionalFormatting sqref="Q179:R179">
    <cfRule type="cellIs" dxfId="361" priority="249" operator="lessThan">
      <formula>0</formula>
    </cfRule>
  </conditionalFormatting>
  <conditionalFormatting sqref="Q191">
    <cfRule type="cellIs" dxfId="360" priority="263" operator="lessThan">
      <formula>0</formula>
    </cfRule>
  </conditionalFormatting>
  <conditionalFormatting sqref="P195">
    <cfRule type="cellIs" dxfId="359" priority="279" operator="lessThan">
      <formula>0</formula>
    </cfRule>
  </conditionalFormatting>
  <conditionalFormatting sqref="J191">
    <cfRule type="cellIs" dxfId="358" priority="294" operator="lessThan">
      <formula>0</formula>
    </cfRule>
  </conditionalFormatting>
  <conditionalFormatting sqref="J192">
    <cfRule type="cellIs" dxfId="357" priority="293" operator="lessThan">
      <formula>0</formula>
    </cfRule>
  </conditionalFormatting>
  <conditionalFormatting sqref="I195">
    <cfRule type="cellIs" dxfId="356" priority="309" operator="lessThan">
      <formula>0</formula>
    </cfRule>
  </conditionalFormatting>
  <conditionalFormatting sqref="AC191">
    <cfRule type="cellIs" dxfId="355" priority="188" operator="lessThan">
      <formula>0</formula>
    </cfRule>
  </conditionalFormatting>
  <conditionalFormatting sqref="AC192">
    <cfRule type="cellIs" dxfId="354" priority="187" operator="lessThan">
      <formula>0</formula>
    </cfRule>
  </conditionalFormatting>
  <conditionalFormatting sqref="AC180">
    <cfRule type="cellIs" dxfId="353" priority="190" operator="lessThan">
      <formula>0</formula>
    </cfRule>
  </conditionalFormatting>
  <conditionalFormatting sqref="AC192">
    <cfRule type="cellIs" dxfId="352" priority="186" operator="lessThan">
      <formula>0</formula>
    </cfRule>
  </conditionalFormatting>
  <conditionalFormatting sqref="AC195">
    <cfRule type="cellIs" dxfId="351" priority="185" operator="lessThan">
      <formula>0</formula>
    </cfRule>
  </conditionalFormatting>
  <conditionalFormatting sqref="AB195">
    <cfRule type="cellIs" dxfId="350" priority="203" operator="lessThan">
      <formula>0</formula>
    </cfRule>
  </conditionalFormatting>
  <conditionalFormatting sqref="Y178:Z178">
    <cfRule type="cellIs" dxfId="349" priority="200" operator="lessThan">
      <formula>0</formula>
    </cfRule>
  </conditionalFormatting>
  <conditionalFormatting sqref="Y174">
    <cfRule type="cellIs" dxfId="348" priority="202" operator="lessThan">
      <formula>0</formula>
    </cfRule>
  </conditionalFormatting>
  <conditionalFormatting sqref="AA174">
    <cfRule type="cellIs" dxfId="347" priority="201" operator="lessThan">
      <formula>0</formula>
    </cfRule>
  </conditionalFormatting>
  <conditionalFormatting sqref="Y180">
    <cfRule type="cellIs" dxfId="346" priority="215" operator="lessThan">
      <formula>0</formula>
    </cfRule>
  </conditionalFormatting>
  <conditionalFormatting sqref="Y191">
    <cfRule type="cellIs" dxfId="345" priority="214" operator="lessThan">
      <formula>0</formula>
    </cfRule>
  </conditionalFormatting>
  <conditionalFormatting sqref="U179:V179">
    <cfRule type="cellIs" dxfId="344" priority="224" operator="lessThan">
      <formula>0</formula>
    </cfRule>
  </conditionalFormatting>
  <conditionalFormatting sqref="W174">
    <cfRule type="cellIs" dxfId="343" priority="226" operator="lessThan">
      <formula>0</formula>
    </cfRule>
  </conditionalFormatting>
  <conditionalFormatting sqref="U178:V178">
    <cfRule type="cellIs" dxfId="342" priority="225" operator="lessThan">
      <formula>0</formula>
    </cfRule>
  </conditionalFormatting>
  <conditionalFormatting sqref="U191">
    <cfRule type="cellIs" dxfId="341" priority="239" operator="lessThan">
      <formula>0</formula>
    </cfRule>
  </conditionalFormatting>
  <conditionalFormatting sqref="U192">
    <cfRule type="cellIs" dxfId="340" priority="236" operator="lessThan">
      <formula>0</formula>
    </cfRule>
  </conditionalFormatting>
  <conditionalFormatting sqref="U195">
    <cfRule type="cellIs" dxfId="339" priority="235" operator="lessThan">
      <formula>0</formula>
    </cfRule>
  </conditionalFormatting>
  <conditionalFormatting sqref="U192">
    <cfRule type="cellIs" dxfId="338" priority="237" operator="lessThan">
      <formula>0</formula>
    </cfRule>
  </conditionalFormatting>
  <conditionalFormatting sqref="S174">
    <cfRule type="cellIs" dxfId="337" priority="251" operator="lessThan">
      <formula>0</formula>
    </cfRule>
  </conditionalFormatting>
  <conditionalFormatting sqref="Q178:R178">
    <cfRule type="cellIs" dxfId="336" priority="250" operator="lessThan">
      <formula>0</formula>
    </cfRule>
  </conditionalFormatting>
  <conditionalFormatting sqref="Q196">
    <cfRule type="cellIs" dxfId="335" priority="257" operator="lessThan">
      <formula>0</formula>
    </cfRule>
  </conditionalFormatting>
  <conditionalFormatting sqref="N194:P194">
    <cfRule type="cellIs" dxfId="334" priority="271" operator="lessThan">
      <formula>0</formula>
    </cfRule>
  </conditionalFormatting>
  <conditionalFormatting sqref="Q174">
    <cfRule type="cellIs" dxfId="333" priority="252" operator="lessThan">
      <formula>0</formula>
    </cfRule>
  </conditionalFormatting>
  <conditionalFormatting sqref="R182:T182 Q176:T177 T196 R180:T180 S178:T179 R193:T193 R195:S196 S191:T192">
    <cfRule type="cellIs" dxfId="332" priority="267" operator="lessThan">
      <formula>0</formula>
    </cfRule>
  </conditionalFormatting>
  <conditionalFormatting sqref="Q180">
    <cfRule type="cellIs" dxfId="331" priority="266" operator="lessThan">
      <formula>0</formula>
    </cfRule>
  </conditionalFormatting>
  <conditionalFormatting sqref="M192">
    <cfRule type="cellIs" dxfId="330" priority="287" operator="lessThan">
      <formula>0</formula>
    </cfRule>
  </conditionalFormatting>
  <conditionalFormatting sqref="M195">
    <cfRule type="cellIs" dxfId="329" priority="284" operator="lessThan">
      <formula>0</formula>
    </cfRule>
  </conditionalFormatting>
  <conditionalFormatting sqref="M196">
    <cfRule type="cellIs" dxfId="328" priority="283" operator="lessThan">
      <formula>0</formula>
    </cfRule>
  </conditionalFormatting>
  <conditionalFormatting sqref="M192">
    <cfRule type="cellIs" dxfId="327" priority="286" operator="lessThan">
      <formula>0</formula>
    </cfRule>
  </conditionalFormatting>
  <conditionalFormatting sqref="M195">
    <cfRule type="cellIs" dxfId="326" priority="285" operator="lessThan">
      <formula>0</formula>
    </cfRule>
  </conditionalFormatting>
  <conditionalFormatting sqref="M196">
    <cfRule type="cellIs" dxfId="325" priority="282" operator="lessThan">
      <formula>0</formula>
    </cfRule>
  </conditionalFormatting>
  <conditionalFormatting sqref="M191">
    <cfRule type="cellIs" dxfId="324" priority="288" operator="lessThan">
      <formula>0</formula>
    </cfRule>
  </conditionalFormatting>
  <conditionalFormatting sqref="K174">
    <cfRule type="cellIs" dxfId="323" priority="301" operator="lessThan">
      <formula>0</formula>
    </cfRule>
  </conditionalFormatting>
  <conditionalFormatting sqref="I192">
    <cfRule type="cellIs" dxfId="322" priority="311" operator="lessThan">
      <formula>0</formula>
    </cfRule>
  </conditionalFormatting>
  <conditionalFormatting sqref="K182:L182 I176:L176 L196 J180:L180 J195:K196 K191:L193 K177:L179">
    <cfRule type="cellIs" dxfId="321" priority="317" operator="lessThan">
      <formula>0</formula>
    </cfRule>
  </conditionalFormatting>
  <conditionalFormatting sqref="I192">
    <cfRule type="cellIs" dxfId="320" priority="312" operator="lessThan">
      <formula>0</formula>
    </cfRule>
  </conditionalFormatting>
  <conditionalFormatting sqref="I180">
    <cfRule type="cellIs" dxfId="319" priority="316" operator="lessThan">
      <formula>0</formula>
    </cfRule>
  </conditionalFormatting>
  <conditionalFormatting sqref="I180">
    <cfRule type="cellIs" dxfId="318" priority="315" operator="lessThan">
      <formula>0</formula>
    </cfRule>
  </conditionalFormatting>
  <conditionalFormatting sqref="Q182">
    <cfRule type="cellIs" dxfId="317" priority="256" operator="lessThan">
      <formula>0</formula>
    </cfRule>
  </conditionalFormatting>
  <conditionalFormatting sqref="Q193">
    <cfRule type="cellIs" dxfId="316" priority="255" operator="lessThan">
      <formula>0</formula>
    </cfRule>
  </conditionalFormatting>
  <conditionalFormatting sqref="U180">
    <cfRule type="cellIs" dxfId="315" priority="240" operator="lessThan">
      <formula>0</formula>
    </cfRule>
  </conditionalFormatting>
  <conditionalFormatting sqref="U193">
    <cfRule type="cellIs" dxfId="314" priority="230" operator="lessThan">
      <formula>0</formula>
    </cfRule>
  </conditionalFormatting>
  <conditionalFormatting sqref="AB195">
    <cfRule type="cellIs" dxfId="313" priority="204" operator="lessThan">
      <formula>0</formula>
    </cfRule>
  </conditionalFormatting>
  <conditionalFormatting sqref="Z194:AB194">
    <cfRule type="cellIs" dxfId="312" priority="196" operator="lessThan">
      <formula>0</formula>
    </cfRule>
  </conditionalFormatting>
  <conditionalFormatting sqref="Y194">
    <cfRule type="cellIs" dxfId="311" priority="195" operator="lessThan">
      <formula>0</formula>
    </cfRule>
  </conditionalFormatting>
  <conditionalFormatting sqref="Z191">
    <cfRule type="cellIs" dxfId="310" priority="194" operator="lessThan">
      <formula>0</formula>
    </cfRule>
  </conditionalFormatting>
  <conditionalFormatting sqref="AD182:AF182 AC176:AF177 AF196 AD180:AF180 AE178:AF179 AD193:AF193 AD195:AE196 AE191:AF192">
    <cfRule type="cellIs" dxfId="309" priority="192" operator="lessThan">
      <formula>0</formula>
    </cfRule>
  </conditionalFormatting>
  <conditionalFormatting sqref="AC196">
    <cfRule type="cellIs" dxfId="308" priority="183" operator="lessThan">
      <formula>0</formula>
    </cfRule>
  </conditionalFormatting>
  <conditionalFormatting sqref="AC196">
    <cfRule type="cellIs" dxfId="307" priority="182" operator="lessThan">
      <formula>0</formula>
    </cfRule>
  </conditionalFormatting>
  <conditionalFormatting sqref="AC195">
    <cfRule type="cellIs" dxfId="306" priority="184" operator="lessThan">
      <formula>0</formula>
    </cfRule>
  </conditionalFormatting>
  <conditionalFormatting sqref="AC193">
    <cfRule type="cellIs" dxfId="305" priority="180" operator="lessThan">
      <formula>0</formula>
    </cfRule>
  </conditionalFormatting>
  <conditionalFormatting sqref="AF195">
    <cfRule type="cellIs" dxfId="304" priority="179" operator="lessThan">
      <formula>0</formula>
    </cfRule>
  </conditionalFormatting>
  <conditionalFormatting sqref="AF195">
    <cfRule type="cellIs" dxfId="303" priority="178" operator="lessThan">
      <formula>0</formula>
    </cfRule>
  </conditionalFormatting>
  <conditionalFormatting sqref="AC174">
    <cfRule type="cellIs" dxfId="302" priority="177" operator="lessThan">
      <formula>0</formula>
    </cfRule>
  </conditionalFormatting>
  <conditionalFormatting sqref="AE174">
    <cfRule type="cellIs" dxfId="301" priority="176" operator="lessThan">
      <formula>0</formula>
    </cfRule>
  </conditionalFormatting>
  <conditionalFormatting sqref="AC178:AD178">
    <cfRule type="cellIs" dxfId="300" priority="175" operator="lessThan">
      <formula>0</formula>
    </cfRule>
  </conditionalFormatting>
  <conditionalFormatting sqref="AC179:AD179">
    <cfRule type="cellIs" dxfId="299" priority="174" operator="lessThan">
      <formula>0</formula>
    </cfRule>
  </conditionalFormatting>
  <conditionalFormatting sqref="AD192">
    <cfRule type="cellIs" dxfId="298" priority="168" operator="lessThan">
      <formula>0</formula>
    </cfRule>
  </conditionalFormatting>
  <conditionalFormatting sqref="AG191">
    <cfRule type="cellIs" dxfId="297" priority="164" operator="lessThan">
      <formula>0</formula>
    </cfRule>
  </conditionalFormatting>
  <conditionalFormatting sqref="AD194:AF194">
    <cfRule type="cellIs" dxfId="296" priority="171" operator="lessThan">
      <formula>0</formula>
    </cfRule>
  </conditionalFormatting>
  <conditionalFormatting sqref="AC194">
    <cfRule type="cellIs" dxfId="295" priority="170" operator="lessThan">
      <formula>0</formula>
    </cfRule>
  </conditionalFormatting>
  <conditionalFormatting sqref="AH182:AJ182 AG176:AJ177 AJ196 AH180:AJ180 AI178:AJ179 AH193:AJ193 AH195:AI196 AI191:AJ192">
    <cfRule type="cellIs" dxfId="294" priority="167" operator="lessThan">
      <formula>0</formula>
    </cfRule>
  </conditionalFormatting>
  <conditionalFormatting sqref="AG180">
    <cfRule type="cellIs" dxfId="293" priority="166" operator="lessThan">
      <formula>0</formula>
    </cfRule>
  </conditionalFormatting>
  <conditionalFormatting sqref="AG180">
    <cfRule type="cellIs" dxfId="292" priority="165" operator="lessThan">
      <formula>0</formula>
    </cfRule>
  </conditionalFormatting>
  <conditionalFormatting sqref="AG191">
    <cfRule type="cellIs" dxfId="291" priority="163" operator="lessThan">
      <formula>0</formula>
    </cfRule>
  </conditionalFormatting>
  <conditionalFormatting sqref="AG196">
    <cfRule type="cellIs" dxfId="290" priority="158" operator="lessThan">
      <formula>0</formula>
    </cfRule>
  </conditionalFormatting>
  <conditionalFormatting sqref="AG196">
    <cfRule type="cellIs" dxfId="289" priority="157" operator="lessThan">
      <formula>0</formula>
    </cfRule>
  </conditionalFormatting>
  <conditionalFormatting sqref="AG195">
    <cfRule type="cellIs" dxfId="288" priority="160" operator="lessThan">
      <formula>0</formula>
    </cfRule>
  </conditionalFormatting>
  <conditionalFormatting sqref="AG195">
    <cfRule type="cellIs" dxfId="287" priority="159" operator="lessThan">
      <formula>0</formula>
    </cfRule>
  </conditionalFormatting>
  <conditionalFormatting sqref="AG193">
    <cfRule type="cellIs" dxfId="286" priority="155" operator="lessThan">
      <formula>0</formula>
    </cfRule>
  </conditionalFormatting>
  <conditionalFormatting sqref="AG178:AH178">
    <cfRule type="cellIs" dxfId="285" priority="150" operator="lessThan">
      <formula>0</formula>
    </cfRule>
  </conditionalFormatting>
  <conditionalFormatting sqref="AG179:AH179">
    <cfRule type="cellIs" dxfId="284" priority="149" operator="lessThan">
      <formula>0</formula>
    </cfRule>
  </conditionalFormatting>
  <conditionalFormatting sqref="AH194:AJ194">
    <cfRule type="cellIs" dxfId="283" priority="146" operator="lessThan">
      <formula>0</formula>
    </cfRule>
  </conditionalFormatting>
  <conditionalFormatting sqref="E177:E179">
    <cfRule type="cellIs" dxfId="282" priority="142" operator="lessThan">
      <formula>0</formula>
    </cfRule>
  </conditionalFormatting>
  <conditionalFormatting sqref="F178:F179">
    <cfRule type="cellIs" dxfId="281" priority="141" operator="lessThan">
      <formula>0</formula>
    </cfRule>
  </conditionalFormatting>
  <conditionalFormatting sqref="E182:E190">
    <cfRule type="cellIs" dxfId="280" priority="140" operator="lessThan">
      <formula>0</formula>
    </cfRule>
  </conditionalFormatting>
  <conditionalFormatting sqref="F182:F190">
    <cfRule type="cellIs" dxfId="279" priority="139" operator="lessThan">
      <formula>0</formula>
    </cfRule>
  </conditionalFormatting>
  <conditionalFormatting sqref="E193:E194">
    <cfRule type="cellIs" dxfId="278" priority="138" operator="lessThan">
      <formula>0</formula>
    </cfRule>
  </conditionalFormatting>
  <conditionalFormatting sqref="F193:F194">
    <cfRule type="cellIs" dxfId="277" priority="137" operator="lessThan">
      <formula>0</formula>
    </cfRule>
  </conditionalFormatting>
  <conditionalFormatting sqref="I177:J179">
    <cfRule type="cellIs" dxfId="276" priority="136" operator="lessThan">
      <formula>0</formula>
    </cfRule>
  </conditionalFormatting>
  <conditionalFormatting sqref="G182:H190">
    <cfRule type="cellIs" dxfId="275" priority="135" operator="lessThan">
      <formula>0</formula>
    </cfRule>
  </conditionalFormatting>
  <conditionalFormatting sqref="G193:H194">
    <cfRule type="cellIs" dxfId="274" priority="134" operator="lessThan">
      <formula>0</formula>
    </cfRule>
  </conditionalFormatting>
  <conditionalFormatting sqref="I182:J190">
    <cfRule type="cellIs" dxfId="273" priority="133" operator="lessThan">
      <formula>0</formula>
    </cfRule>
  </conditionalFormatting>
  <conditionalFormatting sqref="I193:J194">
    <cfRule type="cellIs" dxfId="272" priority="132" operator="lessThan">
      <formula>0</formula>
    </cfRule>
  </conditionalFormatting>
  <conditionalFormatting sqref="E28">
    <cfRule type="cellIs" dxfId="271" priority="129" operator="lessThan">
      <formula>0</formula>
    </cfRule>
  </conditionalFormatting>
  <conditionalFormatting sqref="E57">
    <cfRule type="cellIs" dxfId="270" priority="118" operator="lessThan">
      <formula>0</formula>
    </cfRule>
  </conditionalFormatting>
  <conditionalFormatting sqref="E56">
    <cfRule type="cellIs" dxfId="269" priority="116" operator="lessThan">
      <formula>0</formula>
    </cfRule>
  </conditionalFormatting>
  <conditionalFormatting sqref="E58">
    <cfRule type="cellIs" dxfId="268" priority="110" operator="lessThan">
      <formula>0</formula>
    </cfRule>
  </conditionalFormatting>
  <conditionalFormatting sqref="F29:K31">
    <cfRule type="cellIs" dxfId="267" priority="119" operator="lessThan">
      <formula>0</formula>
    </cfRule>
  </conditionalFormatting>
  <conditionalFormatting sqref="F28:K28">
    <cfRule type="cellIs" dxfId="266" priority="120" operator="lessThan">
      <formula>0</formula>
    </cfRule>
  </conditionalFormatting>
  <conditionalFormatting sqref="E29:E31">
    <cfRule type="cellIs" dxfId="265" priority="121" operator="lessThan">
      <formula>0</formula>
    </cfRule>
  </conditionalFormatting>
  <conditionalFormatting sqref="E90">
    <cfRule type="cellIs" dxfId="264" priority="90" operator="lessThan">
      <formula>0</formula>
    </cfRule>
  </conditionalFormatting>
  <conditionalFormatting sqref="F60:K60">
    <cfRule type="cellIs" dxfId="263" priority="72" operator="lessThan">
      <formula>0</formula>
    </cfRule>
  </conditionalFormatting>
  <conditionalFormatting sqref="E86">
    <cfRule type="cellIs" dxfId="262" priority="92" operator="lessThan">
      <formula>0</formula>
    </cfRule>
  </conditionalFormatting>
  <conditionalFormatting sqref="F114:K114">
    <cfRule type="cellIs" dxfId="261" priority="50" operator="lessThan">
      <formula>0</formula>
    </cfRule>
  </conditionalFormatting>
  <conditionalFormatting sqref="E27">
    <cfRule type="cellIs" dxfId="260" priority="99" operator="lessThan">
      <formula>0</formula>
    </cfRule>
  </conditionalFormatting>
  <conditionalFormatting sqref="F56:K56">
    <cfRule type="cellIs" dxfId="259" priority="102" operator="lessThan">
      <formula>0</formula>
    </cfRule>
  </conditionalFormatting>
  <conditionalFormatting sqref="F27:K27">
    <cfRule type="cellIs" dxfId="258" priority="97" operator="lessThan">
      <formula>0</formula>
    </cfRule>
  </conditionalFormatting>
  <conditionalFormatting sqref="F84:K84">
    <cfRule type="cellIs" dxfId="257" priority="84" operator="lessThan">
      <formula>0</formula>
    </cfRule>
  </conditionalFormatting>
  <conditionalFormatting sqref="E110">
    <cfRule type="cellIs" dxfId="256" priority="67" operator="lessThan">
      <formula>0</formula>
    </cfRule>
  </conditionalFormatting>
  <conditionalFormatting sqref="F86:K86">
    <cfRule type="cellIs" dxfId="255" priority="81" operator="lessThan">
      <formula>0</formula>
    </cfRule>
  </conditionalFormatting>
  <conditionalFormatting sqref="E56">
    <cfRule type="cellIs" dxfId="254" priority="117" operator="lessThan">
      <formula>0</formula>
    </cfRule>
  </conditionalFormatting>
  <conditionalFormatting sqref="E62">
    <cfRule type="cellIs" dxfId="253" priority="108" operator="lessThan">
      <formula>0</formula>
    </cfRule>
  </conditionalFormatting>
  <conditionalFormatting sqref="F89:K89">
    <cfRule type="cellIs" dxfId="252" priority="77" operator="lessThan">
      <formula>0</formula>
    </cfRule>
  </conditionalFormatting>
  <conditionalFormatting sqref="E60">
    <cfRule type="cellIs" dxfId="251" priority="104" operator="lessThan">
      <formula>0</formula>
    </cfRule>
  </conditionalFormatting>
  <conditionalFormatting sqref="F62:K62">
    <cfRule type="cellIs" dxfId="250" priority="69" operator="lessThan">
      <formula>0</formula>
    </cfRule>
  </conditionalFormatting>
  <conditionalFormatting sqref="E110">
    <cfRule type="cellIs" dxfId="249" priority="66" operator="lessThan">
      <formula>0</formula>
    </cfRule>
  </conditionalFormatting>
  <conditionalFormatting sqref="F58:K58">
    <cfRule type="cellIs" dxfId="248" priority="74" operator="lessThan">
      <formula>0</formula>
    </cfRule>
  </conditionalFormatting>
  <conditionalFormatting sqref="F116:K116">
    <cfRule type="cellIs" dxfId="247" priority="48" operator="lessThan">
      <formula>0</formula>
    </cfRule>
  </conditionalFormatting>
  <conditionalFormatting sqref="F143:K143">
    <cfRule type="cellIs" dxfId="246" priority="32" operator="lessThan">
      <formula>0</formula>
    </cfRule>
  </conditionalFormatting>
  <conditionalFormatting sqref="E59 E61">
    <cfRule type="cellIs" dxfId="245" priority="106" operator="lessThan">
      <formula>0</formula>
    </cfRule>
  </conditionalFormatting>
  <conditionalFormatting sqref="F85:K85">
    <cfRule type="cellIs" dxfId="244" priority="80" operator="lessThan">
      <formula>0</formula>
    </cfRule>
  </conditionalFormatting>
  <conditionalFormatting sqref="F147:K147">
    <cfRule type="cellIs" dxfId="243" priority="28" operator="lessThan">
      <formula>0</formula>
    </cfRule>
  </conditionalFormatting>
  <conditionalFormatting sqref="E112">
    <cfRule type="cellIs" dxfId="242" priority="65" operator="lessThan">
      <formula>0</formula>
    </cfRule>
  </conditionalFormatting>
  <conditionalFormatting sqref="F57:K57">
    <cfRule type="cellIs" dxfId="241" priority="75" operator="lessThan">
      <formula>0</formula>
    </cfRule>
  </conditionalFormatting>
  <conditionalFormatting sqref="F90:K90">
    <cfRule type="cellIs" dxfId="240" priority="76" operator="lessThan">
      <formula>0</formula>
    </cfRule>
  </conditionalFormatting>
  <conditionalFormatting sqref="F56:K56">
    <cfRule type="cellIs" dxfId="239" priority="101" operator="lessThan">
      <formula>0</formula>
    </cfRule>
  </conditionalFormatting>
  <conditionalFormatting sqref="F111:K111">
    <cfRule type="cellIs" dxfId="238" priority="53" operator="lessThan">
      <formula>0</formula>
    </cfRule>
  </conditionalFormatting>
  <conditionalFormatting sqref="F88:K88">
    <cfRule type="cellIs" dxfId="237" priority="78" operator="lessThan">
      <formula>0</formula>
    </cfRule>
  </conditionalFormatting>
  <conditionalFormatting sqref="E27">
    <cfRule type="cellIs" dxfId="236" priority="100" operator="lessThan">
      <formula>0</formula>
    </cfRule>
  </conditionalFormatting>
  <conditionalFormatting sqref="F27:K27">
    <cfRule type="cellIs" dxfId="235" priority="98" operator="lessThan">
      <formula>0</formula>
    </cfRule>
  </conditionalFormatting>
  <conditionalFormatting sqref="E85">
    <cfRule type="cellIs" dxfId="234" priority="96" operator="lessThan">
      <formula>0</formula>
    </cfRule>
  </conditionalFormatting>
  <conditionalFormatting sqref="E84">
    <cfRule type="cellIs" dxfId="233" priority="94" operator="lessThan">
      <formula>0</formula>
    </cfRule>
  </conditionalFormatting>
  <conditionalFormatting sqref="F61:K61">
    <cfRule type="cellIs" dxfId="232" priority="71" operator="lessThan">
      <formula>0</formula>
    </cfRule>
  </conditionalFormatting>
  <conditionalFormatting sqref="F142:K142">
    <cfRule type="cellIs" dxfId="231" priority="39" operator="lessThan">
      <formula>0</formula>
    </cfRule>
  </conditionalFormatting>
  <conditionalFormatting sqref="E113 E115">
    <cfRule type="cellIs" dxfId="230" priority="63" operator="lessThan">
      <formula>0</formula>
    </cfRule>
  </conditionalFormatting>
  <conditionalFormatting sqref="F87:K87">
    <cfRule type="cellIs" dxfId="229" priority="79" operator="lessThan">
      <formula>0</formula>
    </cfRule>
  </conditionalFormatting>
  <conditionalFormatting sqref="E145">
    <cfRule type="cellIs" dxfId="228" priority="42" operator="lessThan">
      <formula>0</formula>
    </cfRule>
  </conditionalFormatting>
  <conditionalFormatting sqref="E116">
    <cfRule type="cellIs" dxfId="227" priority="64" operator="lessThan">
      <formula>0</formula>
    </cfRule>
  </conditionalFormatting>
  <conditionalFormatting sqref="E84">
    <cfRule type="cellIs" dxfId="226" priority="95" operator="lessThan">
      <formula>0</formula>
    </cfRule>
  </conditionalFormatting>
  <conditionalFormatting sqref="F115:K115">
    <cfRule type="cellIs" dxfId="225" priority="49" operator="lessThan">
      <formula>0</formula>
    </cfRule>
  </conditionalFormatting>
  <conditionalFormatting sqref="E88">
    <cfRule type="cellIs" dxfId="224" priority="86" operator="lessThan">
      <formula>0</formula>
    </cfRule>
  </conditionalFormatting>
  <conditionalFormatting sqref="F110:K110">
    <cfRule type="cellIs" dxfId="223" priority="60" operator="lessThan">
      <formula>0</formula>
    </cfRule>
  </conditionalFormatting>
  <conditionalFormatting sqref="E87 E89">
    <cfRule type="cellIs" dxfId="222" priority="88" operator="lessThan">
      <formula>0</formula>
    </cfRule>
  </conditionalFormatting>
  <conditionalFormatting sqref="F84:K84">
    <cfRule type="cellIs" dxfId="221" priority="83" operator="lessThan">
      <formula>0</formula>
    </cfRule>
  </conditionalFormatting>
  <conditionalFormatting sqref="E142">
    <cfRule type="cellIs" dxfId="220" priority="45" operator="lessThan">
      <formula>0</formula>
    </cfRule>
  </conditionalFormatting>
  <conditionalFormatting sqref="E144">
    <cfRule type="cellIs" dxfId="219" priority="44" operator="lessThan">
      <formula>0</formula>
    </cfRule>
  </conditionalFormatting>
  <conditionalFormatting sqref="E147">
    <cfRule type="cellIs" dxfId="218" priority="43" operator="lessThan">
      <formula>0</formula>
    </cfRule>
  </conditionalFormatting>
  <conditionalFormatting sqref="E146">
    <cfRule type="cellIs" dxfId="217" priority="41" operator="lessThan">
      <formula>0</formula>
    </cfRule>
  </conditionalFormatting>
  <conditionalFormatting sqref="F142:K142">
    <cfRule type="cellIs" dxfId="216" priority="40" operator="lessThan">
      <formula>0</formula>
    </cfRule>
  </conditionalFormatting>
  <conditionalFormatting sqref="F59:K59">
    <cfRule type="cellIs" dxfId="215" priority="73" operator="lessThan">
      <formula>0</formula>
    </cfRule>
  </conditionalFormatting>
  <conditionalFormatting sqref="F112:K112">
    <cfRule type="cellIs" dxfId="214" priority="52" operator="lessThan">
      <formula>0</formula>
    </cfRule>
  </conditionalFormatting>
  <conditionalFormatting sqref="F113:K113">
    <cfRule type="cellIs" dxfId="213" priority="51" operator="lessThan">
      <formula>0</formula>
    </cfRule>
  </conditionalFormatting>
  <conditionalFormatting sqref="E111">
    <cfRule type="cellIs" dxfId="212" priority="68" operator="lessThan">
      <formula>0</formula>
    </cfRule>
  </conditionalFormatting>
  <conditionalFormatting sqref="F110:K110">
    <cfRule type="cellIs" dxfId="211" priority="61" operator="lessThan">
      <formula>0</formula>
    </cfRule>
  </conditionalFormatting>
  <conditionalFormatting sqref="E114">
    <cfRule type="cellIs" dxfId="210" priority="62" operator="lessThan">
      <formula>0</formula>
    </cfRule>
  </conditionalFormatting>
  <conditionalFormatting sqref="F146:K146">
    <cfRule type="cellIs" dxfId="209" priority="29" operator="lessThan">
      <formula>0</formula>
    </cfRule>
  </conditionalFormatting>
  <conditionalFormatting sqref="E143">
    <cfRule type="cellIs" dxfId="208" priority="47" operator="lessThan">
      <formula>0</formula>
    </cfRule>
  </conditionalFormatting>
  <conditionalFormatting sqref="E142">
    <cfRule type="cellIs" dxfId="207" priority="46" operator="lessThan">
      <formula>0</formula>
    </cfRule>
  </conditionalFormatting>
  <conditionalFormatting sqref="F144:K144">
    <cfRule type="cellIs" dxfId="206" priority="31" operator="lessThan">
      <formula>0</formula>
    </cfRule>
  </conditionalFormatting>
  <conditionalFormatting sqref="F145:K145">
    <cfRule type="cellIs" dxfId="205" priority="30" operator="lessThan">
      <formula>0</formula>
    </cfRule>
  </conditionalFormatting>
  <conditionalFormatting sqref="F177">
    <cfRule type="cellIs" dxfId="204" priority="27" operator="lessThan">
      <formula>0</formula>
    </cfRule>
  </conditionalFormatting>
  <conditionalFormatting sqref="K183:K190">
    <cfRule type="cellIs" dxfId="203" priority="26" operator="lessThan">
      <formula>0</formula>
    </cfRule>
  </conditionalFormatting>
  <conditionalFormatting sqref="L183:L190">
    <cfRule type="cellIs" dxfId="202" priority="25" operator="lessThan">
      <formula>0</formula>
    </cfRule>
  </conditionalFormatting>
  <conditionalFormatting sqref="M183:M190">
    <cfRule type="cellIs" dxfId="201" priority="24" operator="lessThan">
      <formula>0</formula>
    </cfRule>
  </conditionalFormatting>
  <conditionalFormatting sqref="N183:N190">
    <cfRule type="cellIs" dxfId="200" priority="23" operator="lessThan">
      <formula>0</formula>
    </cfRule>
  </conditionalFormatting>
  <conditionalFormatting sqref="O183:O190">
    <cfRule type="cellIs" dxfId="199" priority="22" operator="lessThan">
      <formula>0</formula>
    </cfRule>
  </conditionalFormatting>
  <conditionalFormatting sqref="P183:P190">
    <cfRule type="cellIs" dxfId="198" priority="21" operator="lessThan">
      <formula>0</formula>
    </cfRule>
  </conditionalFormatting>
  <conditionalFormatting sqref="Q183:Q190">
    <cfRule type="cellIs" dxfId="197" priority="20" operator="lessThan">
      <formula>0</formula>
    </cfRule>
  </conditionalFormatting>
  <conditionalFormatting sqref="R183:R190">
    <cfRule type="cellIs" dxfId="196" priority="19" operator="lessThan">
      <formula>0</formula>
    </cfRule>
  </conditionalFormatting>
  <conditionalFormatting sqref="S183:S190">
    <cfRule type="cellIs" dxfId="195" priority="18" operator="lessThan">
      <formula>0</formula>
    </cfRule>
  </conditionalFormatting>
  <conditionalFormatting sqref="T183:T190">
    <cfRule type="cellIs" dxfId="194" priority="17" operator="lessThan">
      <formula>0</formula>
    </cfRule>
  </conditionalFormatting>
  <conditionalFormatting sqref="U183:U190">
    <cfRule type="cellIs" dxfId="193" priority="16" operator="lessThan">
      <formula>0</formula>
    </cfRule>
  </conditionalFormatting>
  <conditionalFormatting sqref="V183:V190">
    <cfRule type="cellIs" dxfId="192" priority="15" operator="lessThan">
      <formula>0</formula>
    </cfRule>
  </conditionalFormatting>
  <conditionalFormatting sqref="W183:W190">
    <cfRule type="cellIs" dxfId="191" priority="14" operator="lessThan">
      <formula>0</formula>
    </cfRule>
  </conditionalFormatting>
  <conditionalFormatting sqref="X183:X190">
    <cfRule type="cellIs" dxfId="190" priority="13" operator="lessThan">
      <formula>0</formula>
    </cfRule>
  </conditionalFormatting>
  <conditionalFormatting sqref="Y183:Y190">
    <cfRule type="cellIs" dxfId="189" priority="12" operator="lessThan">
      <formula>0</formula>
    </cfRule>
  </conditionalFormatting>
  <conditionalFormatting sqref="Z183:Z190">
    <cfRule type="cellIs" dxfId="188" priority="11" operator="lessThan">
      <formula>0</formula>
    </cfRule>
  </conditionalFormatting>
  <conditionalFormatting sqref="AA183:AA190">
    <cfRule type="cellIs" dxfId="187" priority="10" operator="lessThan">
      <formula>0</formula>
    </cfRule>
  </conditionalFormatting>
  <conditionalFormatting sqref="AB183:AB190">
    <cfRule type="cellIs" dxfId="186" priority="9" operator="lessThan">
      <formula>0</formula>
    </cfRule>
  </conditionalFormatting>
  <conditionalFormatting sqref="AC183:AC190">
    <cfRule type="cellIs" dxfId="185" priority="8" operator="lessThan">
      <formula>0</formula>
    </cfRule>
  </conditionalFormatting>
  <conditionalFormatting sqref="AD183:AD190">
    <cfRule type="cellIs" dxfId="184" priority="7" operator="lessThan">
      <formula>0</formula>
    </cfRule>
  </conditionalFormatting>
  <conditionalFormatting sqref="AE183:AE190">
    <cfRule type="cellIs" dxfId="183" priority="6" operator="lessThan">
      <formula>0</formula>
    </cfRule>
  </conditionalFormatting>
  <conditionalFormatting sqref="AF183:AF190">
    <cfRule type="cellIs" dxfId="182" priority="5" operator="lessThan">
      <formula>0</formula>
    </cfRule>
  </conditionalFormatting>
  <conditionalFormatting sqref="AG183:AG190">
    <cfRule type="cellIs" dxfId="181" priority="4" operator="lessThan">
      <formula>0</formula>
    </cfRule>
  </conditionalFormatting>
  <conditionalFormatting sqref="AH183:AH190">
    <cfRule type="cellIs" dxfId="180" priority="3" operator="lessThan">
      <formula>0</formula>
    </cfRule>
  </conditionalFormatting>
  <conditionalFormatting sqref="AI183:AI190">
    <cfRule type="cellIs" dxfId="179" priority="2" operator="lessThan">
      <formula>0</formula>
    </cfRule>
  </conditionalFormatting>
  <conditionalFormatting sqref="AJ183:AJ190">
    <cfRule type="cellIs" dxfId="178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zoomScale="94" zoomScaleNormal="90" zoomScalePageLayoutView="90" workbookViewId="0">
      <selection activeCell="C4" sqref="C4:E5"/>
    </sheetView>
  </sheetViews>
  <sheetFormatPr defaultColWidth="12" defaultRowHeight="15.75"/>
  <cols>
    <col min="1" max="1" width="0.6640625" style="29" customWidth="1"/>
    <col min="2" max="2" width="7.1640625" style="379" customWidth="1"/>
    <col min="3" max="3" width="45.1640625" style="1" bestFit="1" customWidth="1"/>
    <col min="4" max="5" width="15.83203125" style="1" customWidth="1"/>
    <col min="6" max="7" width="15.83203125" style="2" customWidth="1"/>
    <col min="8" max="8" width="22.33203125" style="1" customWidth="1"/>
    <col min="9" max="9" width="12" style="1" customWidth="1"/>
    <col min="10" max="10" width="15.83203125" style="1" customWidth="1"/>
    <col min="11" max="11" width="19.83203125" style="1" bestFit="1" customWidth="1"/>
    <col min="12" max="12" width="20" style="1" customWidth="1"/>
    <col min="13" max="13" width="15.83203125" style="1" customWidth="1"/>
    <col min="14" max="14" width="19.83203125" style="1" bestFit="1" customWidth="1"/>
    <col min="15" max="15" width="15.83203125" style="29" customWidth="1"/>
    <col min="16" max="16" width="1.33203125" style="1" customWidth="1"/>
    <col min="17" max="16384" width="12" style="1"/>
  </cols>
  <sheetData>
    <row r="1" spans="2:16" ht="35.1" customHeight="1" thickBot="1">
      <c r="C1" s="620" t="s">
        <v>440</v>
      </c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2"/>
      <c r="P1" s="4"/>
    </row>
    <row r="2" spans="2:16" ht="36.75" customHeight="1" thickBot="1">
      <c r="C2" s="617" t="s">
        <v>150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9"/>
      <c r="P2" s="4"/>
    </row>
    <row r="3" spans="2:16" s="29" customFormat="1" ht="19.5" thickBot="1">
      <c r="B3" s="379"/>
      <c r="C3" s="628" t="s">
        <v>146</v>
      </c>
      <c r="D3" s="629"/>
      <c r="E3" s="630"/>
      <c r="F3" s="631" t="s">
        <v>228</v>
      </c>
      <c r="G3" s="632"/>
      <c r="H3" s="632"/>
      <c r="I3" s="632"/>
      <c r="J3" s="633"/>
      <c r="K3" s="634" t="s">
        <v>284</v>
      </c>
      <c r="L3" s="634"/>
      <c r="M3" s="634"/>
      <c r="N3" s="634"/>
      <c r="O3" s="635"/>
      <c r="P3" s="4"/>
    </row>
    <row r="4" spans="2:16" ht="18.75" customHeight="1">
      <c r="C4" s="625" t="s">
        <v>443</v>
      </c>
      <c r="D4" s="626"/>
      <c r="E4" s="627"/>
      <c r="F4" s="625" t="s">
        <v>417</v>
      </c>
      <c r="G4" s="626"/>
      <c r="H4" s="626"/>
      <c r="I4" s="626"/>
      <c r="J4" s="627"/>
      <c r="K4" s="625" t="s">
        <v>436</v>
      </c>
      <c r="L4" s="626"/>
      <c r="M4" s="626"/>
      <c r="N4" s="626"/>
      <c r="O4" s="627"/>
      <c r="P4" s="4"/>
    </row>
    <row r="5" spans="2:16" ht="18.75" customHeight="1">
      <c r="C5" s="569"/>
      <c r="D5" s="570"/>
      <c r="E5" s="571"/>
      <c r="F5" s="569"/>
      <c r="G5" s="570"/>
      <c r="H5" s="570"/>
      <c r="I5" s="570"/>
      <c r="J5" s="571"/>
      <c r="K5" s="569"/>
      <c r="L5" s="570"/>
      <c r="M5" s="570"/>
      <c r="N5" s="570"/>
      <c r="O5" s="571"/>
      <c r="P5" s="4"/>
    </row>
    <row r="6" spans="2:16" ht="15.75" customHeight="1">
      <c r="C6" s="569" t="s">
        <v>416</v>
      </c>
      <c r="D6" s="570"/>
      <c r="E6" s="571"/>
      <c r="F6" s="569" t="s">
        <v>418</v>
      </c>
      <c r="G6" s="570"/>
      <c r="H6" s="570"/>
      <c r="I6" s="570"/>
      <c r="J6" s="571"/>
      <c r="K6" s="569" t="s">
        <v>227</v>
      </c>
      <c r="L6" s="570"/>
      <c r="M6" s="570"/>
      <c r="N6" s="570"/>
      <c r="O6" s="571"/>
      <c r="P6" s="4"/>
    </row>
    <row r="7" spans="2:16" ht="15.75" customHeight="1">
      <c r="C7" s="569"/>
      <c r="D7" s="570"/>
      <c r="E7" s="571"/>
      <c r="F7" s="569"/>
      <c r="G7" s="570"/>
      <c r="H7" s="570"/>
      <c r="I7" s="570"/>
      <c r="J7" s="571"/>
      <c r="K7" s="569"/>
      <c r="L7" s="570"/>
      <c r="M7" s="570"/>
      <c r="N7" s="570"/>
      <c r="O7" s="571"/>
      <c r="P7" s="4"/>
    </row>
    <row r="8" spans="2:16" ht="15.75" customHeight="1">
      <c r="C8" s="569"/>
      <c r="D8" s="570"/>
      <c r="E8" s="571"/>
      <c r="F8" s="569"/>
      <c r="G8" s="570"/>
      <c r="H8" s="570"/>
      <c r="I8" s="570"/>
      <c r="J8" s="571"/>
      <c r="K8" s="569"/>
      <c r="L8" s="570"/>
      <c r="M8" s="570"/>
      <c r="N8" s="570"/>
      <c r="O8" s="571"/>
      <c r="P8" s="4"/>
    </row>
    <row r="9" spans="2:16" ht="15.75" customHeight="1">
      <c r="C9" s="569"/>
      <c r="D9" s="570"/>
      <c r="E9" s="571"/>
      <c r="F9" s="569"/>
      <c r="G9" s="570"/>
      <c r="H9" s="570"/>
      <c r="I9" s="570"/>
      <c r="J9" s="571"/>
      <c r="K9" s="569" t="s">
        <v>437</v>
      </c>
      <c r="L9" s="570"/>
      <c r="M9" s="570"/>
      <c r="N9" s="570"/>
      <c r="O9" s="571"/>
      <c r="P9" s="396"/>
    </row>
    <row r="10" spans="2:16" s="29" customFormat="1" ht="15.75" customHeight="1">
      <c r="B10" s="379"/>
      <c r="C10" s="569"/>
      <c r="D10" s="570"/>
      <c r="E10" s="571"/>
      <c r="F10" s="569"/>
      <c r="G10" s="570"/>
      <c r="H10" s="570"/>
      <c r="I10" s="570"/>
      <c r="J10" s="571"/>
      <c r="K10" s="569"/>
      <c r="L10" s="570"/>
      <c r="M10" s="570"/>
      <c r="N10" s="570"/>
      <c r="O10" s="571"/>
      <c r="P10" s="396"/>
    </row>
    <row r="11" spans="2:16" s="29" customFormat="1" ht="18.75" customHeight="1">
      <c r="B11" s="379"/>
      <c r="C11" s="569" t="s">
        <v>424</v>
      </c>
      <c r="D11" s="570"/>
      <c r="E11" s="571"/>
      <c r="F11" s="569" t="s">
        <v>419</v>
      </c>
      <c r="G11" s="570"/>
      <c r="H11" s="570"/>
      <c r="I11" s="570"/>
      <c r="J11" s="571"/>
      <c r="K11" s="569"/>
      <c r="L11" s="570"/>
      <c r="M11" s="570"/>
      <c r="N11" s="570"/>
      <c r="O11" s="571"/>
      <c r="P11" s="396"/>
    </row>
    <row r="12" spans="2:16" s="29" customFormat="1" ht="47.25" customHeight="1">
      <c r="B12" s="379"/>
      <c r="C12" s="569"/>
      <c r="D12" s="570"/>
      <c r="E12" s="571"/>
      <c r="F12" s="265"/>
      <c r="G12" s="266"/>
      <c r="H12" s="266"/>
      <c r="I12" s="266"/>
      <c r="J12" s="267"/>
      <c r="K12" s="569" t="s">
        <v>438</v>
      </c>
      <c r="L12" s="570"/>
      <c r="M12" s="570"/>
      <c r="N12" s="570"/>
      <c r="O12" s="571"/>
      <c r="P12" s="396"/>
    </row>
    <row r="13" spans="2:16" s="29" customFormat="1" ht="15.75" customHeight="1">
      <c r="B13" s="379"/>
      <c r="C13" s="569" t="s">
        <v>423</v>
      </c>
      <c r="D13" s="570"/>
      <c r="E13" s="571"/>
      <c r="F13" s="569" t="s">
        <v>420</v>
      </c>
      <c r="G13" s="570"/>
      <c r="H13" s="570"/>
      <c r="I13" s="570"/>
      <c r="J13" s="571"/>
      <c r="K13" s="304"/>
      <c r="L13" s="268"/>
      <c r="M13" s="268"/>
      <c r="N13" s="268"/>
      <c r="O13" s="269"/>
      <c r="P13" s="4"/>
    </row>
    <row r="14" spans="2:16" s="29" customFormat="1" ht="15.75" customHeight="1">
      <c r="B14" s="379"/>
      <c r="C14" s="569"/>
      <c r="D14" s="570"/>
      <c r="E14" s="571"/>
      <c r="F14" s="569"/>
      <c r="G14" s="570"/>
      <c r="H14" s="570"/>
      <c r="I14" s="570"/>
      <c r="J14" s="571"/>
      <c r="K14" s="569" t="s">
        <v>441</v>
      </c>
      <c r="L14" s="570"/>
      <c r="M14" s="570"/>
      <c r="N14" s="570"/>
      <c r="O14" s="571"/>
      <c r="P14" s="4"/>
    </row>
    <row r="15" spans="2:16" s="29" customFormat="1" ht="15.75" customHeight="1">
      <c r="B15" s="379"/>
      <c r="C15" s="393"/>
      <c r="D15" s="394"/>
      <c r="E15" s="395"/>
      <c r="F15" s="265"/>
      <c r="G15" s="266"/>
      <c r="H15" s="266"/>
      <c r="I15" s="266"/>
      <c r="J15" s="267"/>
      <c r="K15" s="569"/>
      <c r="L15" s="570"/>
      <c r="M15" s="570"/>
      <c r="N15" s="570"/>
      <c r="O15" s="571"/>
      <c r="P15" s="4"/>
    </row>
    <row r="16" spans="2:16" s="29" customFormat="1" ht="15.75" customHeight="1">
      <c r="B16" s="379"/>
      <c r="C16" s="569" t="s">
        <v>422</v>
      </c>
      <c r="D16" s="570"/>
      <c r="E16" s="571"/>
      <c r="F16" s="569" t="s">
        <v>421</v>
      </c>
      <c r="G16" s="570"/>
      <c r="H16" s="570"/>
      <c r="I16" s="570"/>
      <c r="J16" s="571"/>
      <c r="K16" s="569"/>
      <c r="L16" s="570"/>
      <c r="M16" s="570"/>
      <c r="N16" s="570"/>
      <c r="O16" s="571"/>
      <c r="P16" s="4"/>
    </row>
    <row r="17" spans="2:20" s="29" customFormat="1" ht="15.75" customHeight="1">
      <c r="B17" s="379"/>
      <c r="C17" s="569"/>
      <c r="D17" s="570"/>
      <c r="E17" s="571"/>
      <c r="F17" s="569"/>
      <c r="G17" s="570"/>
      <c r="H17" s="570"/>
      <c r="I17" s="570"/>
      <c r="J17" s="571"/>
      <c r="K17" s="304"/>
      <c r="L17" s="268"/>
      <c r="M17" s="268"/>
      <c r="N17" s="268"/>
      <c r="O17" s="269"/>
      <c r="P17" s="4"/>
    </row>
    <row r="18" spans="2:20" s="29" customFormat="1" ht="15.75" customHeight="1">
      <c r="B18" s="379"/>
      <c r="C18" s="304"/>
      <c r="D18" s="268"/>
      <c r="E18" s="269"/>
      <c r="F18" s="265"/>
      <c r="G18" s="266"/>
      <c r="H18" s="266"/>
      <c r="I18" s="266"/>
      <c r="J18" s="267"/>
      <c r="K18" s="265"/>
      <c r="L18" s="266"/>
      <c r="M18" s="266"/>
      <c r="N18" s="266"/>
      <c r="O18" s="267"/>
      <c r="P18" s="4"/>
    </row>
    <row r="19" spans="2:20" s="29" customFormat="1" ht="15.75" customHeight="1" thickBot="1">
      <c r="B19" s="379"/>
      <c r="C19" s="478"/>
      <c r="D19" s="479"/>
      <c r="E19" s="480"/>
      <c r="F19" s="301"/>
      <c r="G19" s="302"/>
      <c r="H19" s="302"/>
      <c r="I19" s="302"/>
      <c r="J19" s="303"/>
      <c r="K19" s="301"/>
      <c r="L19" s="302"/>
      <c r="M19" s="302"/>
      <c r="N19" s="302"/>
      <c r="O19" s="303"/>
      <c r="P19" s="4"/>
    </row>
    <row r="20" spans="2:20" ht="6.95" customHeight="1" thickBot="1">
      <c r="C20" s="3"/>
      <c r="D20" s="3"/>
      <c r="E20" s="3"/>
      <c r="F20" s="3"/>
      <c r="G20" s="3"/>
      <c r="H20" s="3"/>
      <c r="I20" s="3"/>
      <c r="J20" s="3"/>
      <c r="K20" s="4"/>
      <c r="L20" s="4"/>
      <c r="M20" s="4"/>
      <c r="N20" s="4"/>
      <c r="O20" s="4"/>
      <c r="P20" s="4"/>
    </row>
    <row r="21" spans="2:20" s="29" customFormat="1" ht="24.95" customHeight="1" thickTop="1" thickBot="1">
      <c r="B21" s="380" t="s">
        <v>286</v>
      </c>
      <c r="C21" s="188"/>
      <c r="D21" s="188"/>
      <c r="E21" s="188"/>
      <c r="F21" s="188"/>
      <c r="G21" s="188"/>
      <c r="H21" s="380" t="s">
        <v>403</v>
      </c>
      <c r="L21" s="380" t="s">
        <v>402</v>
      </c>
      <c r="P21" s="4"/>
    </row>
    <row r="22" spans="2:20" ht="17.25" thickTop="1" thickBot="1">
      <c r="C22" s="2"/>
      <c r="D22" s="2"/>
      <c r="E22" s="2"/>
      <c r="G22" s="1"/>
      <c r="H22" s="623" t="s">
        <v>10</v>
      </c>
      <c r="I22" s="624"/>
      <c r="J22" s="624"/>
      <c r="K22" s="624"/>
      <c r="L22" s="344" t="s">
        <v>17</v>
      </c>
      <c r="M22" s="329"/>
      <c r="N22" s="329"/>
      <c r="O22" s="330"/>
      <c r="P22" s="4"/>
    </row>
    <row r="23" spans="2:20" ht="17.25" thickTop="1" thickBot="1">
      <c r="C23" s="2"/>
      <c r="D23" s="2"/>
      <c r="E23" s="2"/>
      <c r="G23" s="1"/>
      <c r="H23" s="354" t="s">
        <v>391</v>
      </c>
      <c r="I23" s="331"/>
      <c r="J23" s="384" t="s">
        <v>294</v>
      </c>
      <c r="K23" s="355" t="s">
        <v>296</v>
      </c>
      <c r="L23" s="356" t="s">
        <v>391</v>
      </c>
      <c r="M23" s="332"/>
      <c r="N23" s="386" t="s">
        <v>294</v>
      </c>
      <c r="O23" s="385" t="s">
        <v>400</v>
      </c>
      <c r="P23" s="4"/>
    </row>
    <row r="24" spans="2:20" ht="17.25" thickTop="1" thickBot="1">
      <c r="C24" s="2"/>
      <c r="D24" s="2"/>
      <c r="E24" s="2"/>
      <c r="G24" s="1"/>
      <c r="H24" s="647" t="s">
        <v>203</v>
      </c>
      <c r="I24" s="648"/>
      <c r="J24" s="333">
        <v>11875</v>
      </c>
      <c r="K24" s="340">
        <v>82087.5</v>
      </c>
      <c r="L24" s="656" t="s">
        <v>392</v>
      </c>
      <c r="M24" s="657"/>
      <c r="N24" s="349">
        <v>2</v>
      </c>
      <c r="O24" s="387">
        <f>+N24/N26</f>
        <v>1</v>
      </c>
      <c r="P24" s="4"/>
      <c r="R24" s="29"/>
      <c r="S24" s="29"/>
      <c r="T24" s="29"/>
    </row>
    <row r="25" spans="2:20" ht="17.25" thickTop="1" thickBot="1">
      <c r="C25" s="2"/>
      <c r="D25" s="2"/>
      <c r="E25" s="2"/>
      <c r="G25" s="1"/>
      <c r="H25" s="645" t="s">
        <v>386</v>
      </c>
      <c r="I25" s="646"/>
      <c r="J25" s="334"/>
      <c r="K25" s="341"/>
      <c r="L25" s="578" t="s">
        <v>393</v>
      </c>
      <c r="M25" s="579"/>
      <c r="N25" s="348">
        <v>0</v>
      </c>
      <c r="O25" s="388">
        <f>+N25/N26</f>
        <v>0</v>
      </c>
      <c r="P25" s="4"/>
    </row>
    <row r="26" spans="2:20" ht="17.25" thickTop="1" thickBot="1">
      <c r="C26" s="2"/>
      <c r="D26" s="2"/>
      <c r="E26" s="2"/>
      <c r="G26" s="1"/>
      <c r="H26" s="649" t="s">
        <v>11</v>
      </c>
      <c r="I26" s="650"/>
      <c r="J26" s="335">
        <v>192720</v>
      </c>
      <c r="K26" s="342">
        <v>1343884</v>
      </c>
      <c r="L26" s="574" t="s">
        <v>410</v>
      </c>
      <c r="M26" s="575"/>
      <c r="N26" s="357">
        <f>+SUM(N24:N25)</f>
        <v>2</v>
      </c>
      <c r="O26" s="358">
        <f>+SUM(O24:O25)</f>
        <v>1</v>
      </c>
      <c r="P26" s="4"/>
    </row>
    <row r="27" spans="2:20" ht="17.25" thickTop="1" thickBot="1">
      <c r="C27" s="2"/>
      <c r="D27" s="2"/>
      <c r="E27" s="2"/>
      <c r="G27" s="1"/>
      <c r="H27" s="651" t="s">
        <v>387</v>
      </c>
      <c r="I27" s="652"/>
      <c r="J27" s="336">
        <v>-2324</v>
      </c>
      <c r="K27" s="343">
        <v>-26439</v>
      </c>
      <c r="L27" s="576" t="s">
        <v>394</v>
      </c>
      <c r="M27" s="577"/>
      <c r="N27" s="350">
        <v>47</v>
      </c>
      <c r="O27" s="351">
        <f>+N27/N29</f>
        <v>0.94</v>
      </c>
      <c r="P27" s="4"/>
    </row>
    <row r="28" spans="2:20" ht="17.25" thickTop="1" thickBot="1">
      <c r="C28" s="2"/>
      <c r="D28" s="2"/>
      <c r="E28" s="2"/>
      <c r="G28" s="1"/>
      <c r="H28" s="574" t="s">
        <v>12</v>
      </c>
      <c r="I28" s="644"/>
      <c r="J28" s="337">
        <f>+SUM(J26:J27)</f>
        <v>190396</v>
      </c>
      <c r="K28" s="337">
        <f>+SUM(K26:K27)</f>
        <v>1317445</v>
      </c>
      <c r="L28" s="576" t="s">
        <v>395</v>
      </c>
      <c r="M28" s="577"/>
      <c r="N28" s="350">
        <v>3</v>
      </c>
      <c r="O28" s="351">
        <f>+N28/N29</f>
        <v>0.06</v>
      </c>
      <c r="P28" s="4"/>
    </row>
    <row r="29" spans="2:20" ht="17.25" thickTop="1" thickBot="1">
      <c r="C29" s="2"/>
      <c r="D29" s="2"/>
      <c r="E29" s="2"/>
      <c r="G29" s="1"/>
      <c r="H29" s="653" t="s">
        <v>388</v>
      </c>
      <c r="I29" s="654"/>
      <c r="J29" s="338">
        <f>-12825.1-4674.53</f>
        <v>-17499.63</v>
      </c>
      <c r="K29" s="338">
        <f>-88168.86-51050.67</f>
        <v>-139219.53</v>
      </c>
      <c r="L29" s="574" t="s">
        <v>411</v>
      </c>
      <c r="M29" s="575"/>
      <c r="N29" s="357">
        <f>+SUM(N27:N28)</f>
        <v>50</v>
      </c>
      <c r="O29" s="358">
        <f>+SUM(O27:O28)</f>
        <v>1</v>
      </c>
      <c r="P29" s="4"/>
    </row>
    <row r="30" spans="2:20" ht="17.25" thickTop="1" thickBot="1">
      <c r="C30" s="2"/>
      <c r="D30" s="2"/>
      <c r="E30" s="2"/>
      <c r="G30" s="1"/>
      <c r="H30" s="655" t="s">
        <v>389</v>
      </c>
      <c r="I30" s="644"/>
      <c r="J30" s="339">
        <f>+SUM(J28:J29)</f>
        <v>172896.37</v>
      </c>
      <c r="K30" s="339">
        <f>+SUM(K28:K29)</f>
        <v>1178225.47</v>
      </c>
      <c r="L30" s="586" t="s">
        <v>412</v>
      </c>
      <c r="M30" s="587"/>
      <c r="N30" s="345">
        <f>+N26+N29</f>
        <v>52</v>
      </c>
      <c r="O30" s="346"/>
      <c r="P30" s="4"/>
    </row>
    <row r="31" spans="2:20" ht="17.25" thickTop="1" thickBot="1">
      <c r="C31" s="2"/>
      <c r="D31" s="2"/>
      <c r="E31" s="2"/>
      <c r="G31" s="1"/>
      <c r="H31" s="574" t="s">
        <v>435</v>
      </c>
      <c r="I31" s="644"/>
      <c r="J31" s="353">
        <f>+J30</f>
        <v>172896.37</v>
      </c>
      <c r="K31" s="353">
        <f>+K30</f>
        <v>1178225.47</v>
      </c>
      <c r="L31" s="576" t="s">
        <v>396</v>
      </c>
      <c r="M31" s="577"/>
      <c r="N31" s="352">
        <v>2500</v>
      </c>
      <c r="O31" s="351">
        <f>+N31/N33</f>
        <v>1</v>
      </c>
      <c r="P31" s="4"/>
    </row>
    <row r="32" spans="2:20" ht="16.5" customHeight="1" thickTop="1" thickBot="1">
      <c r="C32" s="2"/>
      <c r="D32" s="2"/>
      <c r="E32" s="2"/>
      <c r="G32" s="1"/>
      <c r="H32" s="572" t="s">
        <v>434</v>
      </c>
      <c r="I32" s="573"/>
      <c r="J32" s="398">
        <v>2468.25</v>
      </c>
      <c r="K32" s="398"/>
      <c r="L32" s="576" t="s">
        <v>397</v>
      </c>
      <c r="M32" s="577"/>
      <c r="N32" s="350">
        <v>0</v>
      </c>
      <c r="O32" s="351">
        <f>+N32/N33</f>
        <v>0</v>
      </c>
      <c r="P32" s="4"/>
    </row>
    <row r="33" spans="2:16" s="29" customFormat="1" ht="17.25" thickTop="1" thickBot="1">
      <c r="B33" s="379"/>
      <c r="C33" s="188"/>
      <c r="D33" s="188"/>
      <c r="E33" s="188"/>
      <c r="F33" s="188"/>
      <c r="H33" s="574" t="s">
        <v>390</v>
      </c>
      <c r="I33" s="575"/>
      <c r="J33" s="472">
        <f>+J31-J32</f>
        <v>170428.12</v>
      </c>
      <c r="K33" s="472"/>
      <c r="L33" s="574" t="s">
        <v>398</v>
      </c>
      <c r="M33" s="575"/>
      <c r="N33" s="357">
        <f>+SUM(N31:N32)</f>
        <v>2500</v>
      </c>
      <c r="O33" s="358">
        <f>SUM(O31:O32)</f>
        <v>1</v>
      </c>
      <c r="P33" s="4"/>
    </row>
    <row r="34" spans="2:16" s="29" customFormat="1" ht="17.25" thickTop="1" thickBot="1">
      <c r="B34" s="379"/>
      <c r="C34" s="188"/>
      <c r="D34" s="188"/>
      <c r="E34" s="188"/>
      <c r="F34" s="188"/>
      <c r="H34" s="572" t="s">
        <v>145</v>
      </c>
      <c r="I34" s="573"/>
      <c r="J34" s="398">
        <f>+D125</f>
        <v>16529.47</v>
      </c>
      <c r="K34" s="398">
        <f>+G125</f>
        <v>113578.53</v>
      </c>
      <c r="L34" s="576" t="s">
        <v>413</v>
      </c>
      <c r="M34" s="577"/>
      <c r="N34" s="352">
        <v>34630</v>
      </c>
      <c r="O34" s="351">
        <f>+N34/N36</f>
        <v>0.93511192720006475</v>
      </c>
      <c r="P34" s="4"/>
    </row>
    <row r="35" spans="2:16" ht="17.25" thickTop="1" thickBot="1">
      <c r="H35" s="580" t="s">
        <v>135</v>
      </c>
      <c r="I35" s="581"/>
      <c r="J35" s="472">
        <f>+J24+J33+J34</f>
        <v>198832.59</v>
      </c>
      <c r="K35" s="472">
        <f>+K24+K31+K34</f>
        <v>1373891.5</v>
      </c>
      <c r="L35" s="576" t="s">
        <v>414</v>
      </c>
      <c r="M35" s="577"/>
      <c r="N35" s="350">
        <v>2403</v>
      </c>
      <c r="O35" s="351">
        <f>+N35/N36</f>
        <v>6.4888072799935193E-2</v>
      </c>
      <c r="P35" s="4"/>
    </row>
    <row r="36" spans="2:16" s="29" customFormat="1" ht="17.25" thickTop="1" thickBot="1">
      <c r="B36" s="379"/>
      <c r="F36" s="188"/>
      <c r="G36" s="188"/>
      <c r="L36" s="574" t="s">
        <v>409</v>
      </c>
      <c r="M36" s="575"/>
      <c r="N36" s="357">
        <f>SUM(N34:N35)</f>
        <v>37033</v>
      </c>
      <c r="O36" s="358">
        <f>SUM(O34:O35)</f>
        <v>1</v>
      </c>
      <c r="P36" s="4"/>
    </row>
    <row r="37" spans="2:16" s="29" customFormat="1" ht="17.25" thickTop="1" thickBot="1">
      <c r="B37" s="379"/>
      <c r="F37" s="188"/>
      <c r="G37" s="188"/>
      <c r="L37" s="586" t="s">
        <v>415</v>
      </c>
      <c r="M37" s="587"/>
      <c r="N37" s="345">
        <f>+N33+N36</f>
        <v>39533</v>
      </c>
      <c r="O37" s="347"/>
      <c r="P37" s="4"/>
    </row>
    <row r="38" spans="2:16" s="29" customFormat="1" ht="24.75" customHeight="1" thickTop="1" thickBot="1">
      <c r="B38" s="379"/>
      <c r="F38" s="188"/>
      <c r="G38" s="188"/>
      <c r="J38" s="473"/>
      <c r="L38" s="582" t="s">
        <v>399</v>
      </c>
      <c r="M38" s="583"/>
      <c r="N38" s="359">
        <f>+J33</f>
        <v>170428.12</v>
      </c>
      <c r="O38" s="474">
        <f>+N38/J31</f>
        <v>0.98572410745234273</v>
      </c>
      <c r="P38" s="4"/>
    </row>
    <row r="39" spans="2:16" s="29" customFormat="1" ht="17.25" thickTop="1" thickBot="1">
      <c r="B39" s="379"/>
      <c r="F39" s="188"/>
      <c r="G39" s="188"/>
      <c r="L39" s="584" t="s">
        <v>387</v>
      </c>
      <c r="M39" s="585"/>
      <c r="N39" s="397">
        <f>+J27</f>
        <v>-2324</v>
      </c>
      <c r="O39" s="389">
        <f>+N39/J31</f>
        <v>-1.3441577749723722E-2</v>
      </c>
      <c r="P39" s="4"/>
    </row>
    <row r="40" spans="2:16" s="29" customFormat="1" ht="24.95" customHeight="1" thickTop="1" thickBot="1">
      <c r="B40" s="380" t="s">
        <v>285</v>
      </c>
      <c r="C40" s="188"/>
      <c r="D40" s="188"/>
      <c r="E40" s="188"/>
      <c r="F40" s="380" t="s">
        <v>287</v>
      </c>
      <c r="H40" s="208"/>
      <c r="I40" s="208"/>
      <c r="J40" s="209"/>
      <c r="K40" s="380" t="s">
        <v>288</v>
      </c>
      <c r="N40" s="210"/>
      <c r="O40" s="211"/>
      <c r="P40" s="4"/>
    </row>
    <row r="41" spans="2:16" ht="9.9499999999999993" customHeight="1" thickTop="1">
      <c r="H41" s="188"/>
      <c r="I41" s="188"/>
      <c r="J41" s="188"/>
      <c r="K41" s="188"/>
      <c r="L41" s="188"/>
      <c r="M41" s="188"/>
      <c r="N41" s="29"/>
      <c r="P41" s="4"/>
    </row>
    <row r="42" spans="2:16" s="29" customFormat="1" ht="9.9499999999999993" customHeight="1">
      <c r="B42" s="379"/>
      <c r="F42" s="2"/>
      <c r="G42" s="2"/>
      <c r="H42" s="2"/>
      <c r="I42" s="2"/>
      <c r="J42" s="2"/>
      <c r="K42" s="2"/>
      <c r="L42" s="2"/>
      <c r="M42" s="2"/>
      <c r="P42" s="4"/>
    </row>
    <row r="43" spans="2:16" s="29" customFormat="1" ht="9.9499999999999993" customHeight="1">
      <c r="B43" s="379"/>
      <c r="F43" s="2"/>
      <c r="G43" s="2"/>
      <c r="H43" s="2"/>
      <c r="I43" s="2"/>
      <c r="J43" s="2"/>
      <c r="K43" s="2"/>
      <c r="L43" s="2"/>
      <c r="M43" s="2"/>
      <c r="P43" s="4"/>
    </row>
    <row r="44" spans="2:16" s="29" customFormat="1" ht="9.9499999999999993" customHeight="1">
      <c r="B44" s="379"/>
      <c r="F44" s="2"/>
      <c r="G44" s="2"/>
      <c r="H44" s="2"/>
      <c r="I44" s="2"/>
      <c r="J44" s="2"/>
      <c r="K44" s="2"/>
      <c r="L44" s="2"/>
      <c r="M44" s="2"/>
      <c r="P44" s="4"/>
    </row>
    <row r="45" spans="2:16" s="29" customFormat="1" ht="9.9499999999999993" customHeight="1">
      <c r="B45" s="379"/>
      <c r="F45" s="2"/>
      <c r="G45" s="2"/>
      <c r="H45" s="2"/>
      <c r="I45" s="2"/>
      <c r="J45" s="2"/>
      <c r="K45" s="2"/>
      <c r="L45" s="2"/>
      <c r="M45" s="2"/>
      <c r="P45" s="4"/>
    </row>
    <row r="46" spans="2:16" s="29" customFormat="1" ht="9.9499999999999993" customHeight="1">
      <c r="B46" s="379"/>
      <c r="F46" s="2"/>
      <c r="G46" s="2"/>
      <c r="H46" s="2"/>
      <c r="I46" s="2"/>
      <c r="J46" s="2"/>
      <c r="K46" s="2"/>
      <c r="L46" s="2"/>
      <c r="M46" s="2"/>
      <c r="P46" s="4"/>
    </row>
    <row r="47" spans="2:16" s="29" customFormat="1" ht="9.9499999999999993" customHeight="1">
      <c r="B47" s="379"/>
      <c r="F47" s="2"/>
      <c r="G47" s="2"/>
      <c r="H47" s="2"/>
      <c r="I47" s="2"/>
      <c r="J47" s="2"/>
      <c r="K47" s="2"/>
      <c r="L47" s="2"/>
      <c r="M47" s="2"/>
      <c r="P47" s="4"/>
    </row>
    <row r="48" spans="2:16" s="29" customFormat="1" ht="9.9499999999999993" customHeight="1">
      <c r="B48" s="379"/>
      <c r="F48" s="2"/>
      <c r="G48" s="2"/>
      <c r="H48" s="2"/>
      <c r="I48" s="2"/>
      <c r="J48" s="2"/>
      <c r="K48" s="2"/>
      <c r="L48" s="2"/>
      <c r="M48" s="2"/>
      <c r="P48" s="4"/>
    </row>
    <row r="49" spans="2:16" s="29" customFormat="1" ht="9.9499999999999993" customHeight="1">
      <c r="B49" s="379"/>
      <c r="F49" s="2"/>
      <c r="G49" s="2"/>
      <c r="H49" s="2"/>
      <c r="I49" s="2"/>
      <c r="J49" s="2"/>
      <c r="K49" s="2"/>
      <c r="L49" s="2"/>
      <c r="M49" s="2"/>
      <c r="P49" s="4"/>
    </row>
    <row r="50" spans="2:16" s="29" customFormat="1" ht="9.9499999999999993" customHeight="1">
      <c r="B50" s="379"/>
      <c r="F50" s="2"/>
      <c r="G50" s="2"/>
      <c r="H50" s="2"/>
      <c r="I50" s="2"/>
      <c r="J50" s="2"/>
      <c r="K50" s="2"/>
      <c r="L50" s="2"/>
      <c r="M50" s="2"/>
      <c r="P50" s="4"/>
    </row>
    <row r="51" spans="2:16" s="29" customFormat="1" ht="9.9499999999999993" customHeight="1">
      <c r="B51" s="379"/>
      <c r="F51" s="2"/>
      <c r="G51" s="2"/>
      <c r="H51" s="2"/>
      <c r="I51" s="2"/>
      <c r="J51" s="2"/>
      <c r="K51" s="2"/>
      <c r="L51" s="2"/>
      <c r="M51" s="2"/>
      <c r="P51" s="4"/>
    </row>
    <row r="52" spans="2:16" s="29" customFormat="1" ht="9.9499999999999993" customHeight="1">
      <c r="B52" s="379"/>
      <c r="F52" s="2"/>
      <c r="G52" s="2"/>
      <c r="H52" s="2"/>
      <c r="I52" s="2"/>
      <c r="J52" s="2"/>
      <c r="K52" s="2"/>
      <c r="L52" s="2"/>
      <c r="M52" s="2"/>
      <c r="P52" s="4"/>
    </row>
    <row r="53" spans="2:16" s="29" customFormat="1" ht="9.9499999999999993" customHeight="1">
      <c r="B53" s="379"/>
      <c r="F53" s="2"/>
      <c r="G53" s="2"/>
      <c r="H53" s="2"/>
      <c r="I53" s="2"/>
      <c r="J53" s="2"/>
      <c r="K53" s="2"/>
      <c r="L53" s="2"/>
      <c r="M53" s="2"/>
      <c r="P53" s="4"/>
    </row>
    <row r="54" spans="2:16" s="29" customFormat="1" ht="9.9499999999999993" customHeight="1">
      <c r="B54" s="379"/>
      <c r="F54" s="2"/>
      <c r="G54" s="2"/>
      <c r="H54" s="2"/>
      <c r="I54" s="2"/>
      <c r="J54" s="2"/>
      <c r="K54" s="2"/>
      <c r="L54" s="2"/>
      <c r="M54" s="2"/>
      <c r="P54" s="4"/>
    </row>
    <row r="55" spans="2:16" s="29" customFormat="1" ht="9.9499999999999993" customHeight="1">
      <c r="B55" s="379"/>
      <c r="F55" s="2"/>
      <c r="G55" s="2"/>
      <c r="H55" s="2"/>
      <c r="I55" s="2"/>
      <c r="J55" s="2"/>
      <c r="K55" s="2"/>
      <c r="L55" s="2"/>
      <c r="M55" s="2"/>
      <c r="P55" s="4"/>
    </row>
    <row r="56" spans="2:16" s="29" customFormat="1" ht="9.9499999999999993" customHeight="1">
      <c r="B56" s="379"/>
      <c r="F56" s="2"/>
      <c r="G56" s="2"/>
      <c r="H56" s="2"/>
      <c r="I56" s="2"/>
      <c r="J56" s="2"/>
      <c r="K56" s="2"/>
      <c r="L56" s="2"/>
      <c r="M56" s="2"/>
      <c r="P56" s="4"/>
    </row>
    <row r="57" spans="2:16" s="29" customFormat="1" ht="9.9499999999999993" customHeight="1">
      <c r="B57" s="379"/>
      <c r="F57" s="2"/>
      <c r="G57" s="2"/>
      <c r="H57" s="2"/>
      <c r="I57" s="2"/>
      <c r="J57" s="2"/>
      <c r="K57" s="2"/>
      <c r="L57" s="2"/>
      <c r="M57" s="2"/>
      <c r="P57" s="4"/>
    </row>
    <row r="58" spans="2:16" s="29" customFormat="1" ht="9.9499999999999993" customHeight="1">
      <c r="B58" s="379"/>
      <c r="F58" s="2"/>
      <c r="G58" s="2"/>
      <c r="H58" s="2"/>
      <c r="I58" s="2"/>
      <c r="J58" s="2"/>
      <c r="K58" s="2"/>
      <c r="L58" s="2"/>
      <c r="M58" s="2"/>
      <c r="P58" s="4"/>
    </row>
    <row r="59" spans="2:16" s="29" customFormat="1" ht="9.9499999999999993" customHeight="1">
      <c r="B59" s="379"/>
      <c r="F59" s="2"/>
      <c r="G59" s="2"/>
      <c r="H59" s="2"/>
      <c r="I59" s="2"/>
      <c r="J59" s="2"/>
      <c r="K59" s="2"/>
      <c r="L59" s="2"/>
      <c r="M59" s="2"/>
      <c r="P59" s="4"/>
    </row>
    <row r="60" spans="2:16" s="29" customFormat="1" ht="9.9499999999999993" customHeight="1" thickBot="1">
      <c r="B60" s="379"/>
      <c r="F60" s="2"/>
      <c r="G60" s="2"/>
      <c r="H60" s="2"/>
      <c r="I60" s="2"/>
      <c r="J60" s="2"/>
      <c r="K60" s="2"/>
      <c r="L60" s="2"/>
      <c r="M60" s="2"/>
      <c r="P60" s="4"/>
    </row>
    <row r="61" spans="2:16" ht="24.95" customHeight="1" thickTop="1" thickBot="1">
      <c r="B61" s="380" t="s">
        <v>289</v>
      </c>
      <c r="C61" s="2"/>
      <c r="D61" s="2"/>
      <c r="E61" s="2"/>
      <c r="H61" s="2"/>
      <c r="I61" s="2"/>
      <c r="J61" s="2"/>
      <c r="P61" s="4"/>
    </row>
    <row r="62" spans="2:16" ht="9.9499999999999993" customHeight="1" thickTop="1">
      <c r="C62" s="2"/>
      <c r="D62" s="2"/>
      <c r="E62" s="2"/>
      <c r="H62" s="2"/>
      <c r="I62" s="2"/>
      <c r="J62" s="2"/>
      <c r="P62" s="4"/>
    </row>
    <row r="63" spans="2:16" ht="9.9499999999999993" customHeight="1">
      <c r="C63" s="2"/>
      <c r="D63" s="2"/>
      <c r="E63" s="2"/>
      <c r="H63" s="2"/>
      <c r="I63" s="2"/>
      <c r="J63" s="2"/>
      <c r="P63" s="4"/>
    </row>
    <row r="64" spans="2:16" ht="9.9499999999999993" customHeight="1">
      <c r="C64" s="2"/>
      <c r="D64" s="2"/>
      <c r="E64" s="2"/>
      <c r="H64" s="2"/>
      <c r="I64" s="2"/>
      <c r="J64" s="2"/>
      <c r="P64" s="4"/>
    </row>
    <row r="65" spans="3:16" ht="9.9499999999999993" customHeight="1">
      <c r="C65" s="2"/>
      <c r="D65" s="2"/>
      <c r="E65" s="2"/>
      <c r="H65" s="2"/>
      <c r="I65" s="2"/>
      <c r="J65" s="2"/>
      <c r="P65" s="4"/>
    </row>
    <row r="66" spans="3:16" ht="9.9499999999999993" customHeight="1">
      <c r="C66" s="2"/>
      <c r="D66" s="2"/>
      <c r="E66" s="2"/>
      <c r="H66" s="2"/>
      <c r="I66" s="2"/>
      <c r="J66" s="2"/>
      <c r="P66" s="4"/>
    </row>
    <row r="67" spans="3:16" ht="9.9499999999999993" customHeight="1">
      <c r="C67" s="2"/>
      <c r="D67" s="2"/>
      <c r="E67" s="2"/>
      <c r="H67" s="2"/>
      <c r="I67" s="2"/>
      <c r="J67" s="2"/>
      <c r="P67" s="4"/>
    </row>
    <row r="68" spans="3:16" ht="9.9499999999999993" customHeight="1">
      <c r="C68" s="2"/>
      <c r="D68" s="2"/>
      <c r="E68" s="2"/>
      <c r="H68" s="2"/>
      <c r="I68" s="2"/>
      <c r="J68" s="2"/>
      <c r="P68" s="4"/>
    </row>
    <row r="69" spans="3:16" ht="9.9499999999999993" customHeight="1">
      <c r="C69" s="2"/>
      <c r="D69" s="2"/>
      <c r="E69" s="2"/>
      <c r="H69" s="2"/>
      <c r="I69" s="2"/>
      <c r="J69" s="2"/>
      <c r="P69" s="4"/>
    </row>
    <row r="70" spans="3:16" ht="9.9499999999999993" customHeight="1">
      <c r="C70" s="2"/>
      <c r="D70" s="2"/>
      <c r="E70" s="2"/>
      <c r="H70" s="2"/>
      <c r="I70" s="2"/>
      <c r="J70" s="2"/>
      <c r="P70" s="4"/>
    </row>
    <row r="71" spans="3:16" ht="9.9499999999999993" customHeight="1">
      <c r="C71" s="2"/>
      <c r="D71" s="2"/>
      <c r="E71" s="2"/>
      <c r="H71" s="2"/>
      <c r="I71" s="2"/>
      <c r="J71" s="2"/>
      <c r="P71" s="4"/>
    </row>
    <row r="72" spans="3:16" ht="9.9499999999999993" customHeight="1">
      <c r="C72" s="2"/>
      <c r="D72" s="2"/>
      <c r="E72" s="2"/>
      <c r="H72" s="2"/>
      <c r="I72" s="2"/>
      <c r="J72" s="2"/>
      <c r="P72" s="4"/>
    </row>
    <row r="73" spans="3:16" ht="9.9499999999999993" customHeight="1">
      <c r="C73" s="2"/>
      <c r="D73" s="2"/>
      <c r="E73" s="2"/>
      <c r="H73" s="2"/>
      <c r="I73" s="2"/>
      <c r="J73" s="2"/>
      <c r="P73" s="4"/>
    </row>
    <row r="74" spans="3:16" ht="9.9499999999999993" customHeight="1">
      <c r="C74" s="2"/>
      <c r="D74" s="2"/>
      <c r="E74" s="2"/>
      <c r="H74" s="2"/>
      <c r="I74" s="2"/>
      <c r="J74" s="2"/>
      <c r="P74" s="4"/>
    </row>
    <row r="75" spans="3:16" ht="9.9499999999999993" customHeight="1">
      <c r="C75" s="2"/>
      <c r="D75" s="2"/>
      <c r="E75" s="2"/>
      <c r="H75" s="2"/>
      <c r="I75" s="2"/>
      <c r="J75" s="2"/>
      <c r="P75" s="4"/>
    </row>
    <row r="76" spans="3:16" ht="9.9499999999999993" customHeight="1">
      <c r="C76" s="2"/>
      <c r="D76" s="2"/>
      <c r="E76" s="2"/>
      <c r="H76" s="2"/>
      <c r="I76" s="2"/>
      <c r="J76" s="2"/>
      <c r="P76" s="4"/>
    </row>
    <row r="77" spans="3:16" ht="9.9499999999999993" customHeight="1">
      <c r="C77" s="2"/>
      <c r="D77" s="2"/>
      <c r="E77" s="2"/>
      <c r="H77" s="2"/>
      <c r="I77" s="2"/>
      <c r="J77" s="2"/>
      <c r="P77" s="4"/>
    </row>
    <row r="78" spans="3:16" ht="9.9499999999999993" customHeight="1">
      <c r="C78" s="2"/>
      <c r="D78" s="2"/>
      <c r="E78" s="2"/>
      <c r="H78" s="2"/>
      <c r="I78" s="2"/>
      <c r="J78" s="2"/>
      <c r="P78" s="4"/>
    </row>
    <row r="79" spans="3:16" ht="9.9499999999999993" customHeight="1">
      <c r="C79" s="2"/>
      <c r="D79" s="2"/>
      <c r="E79" s="2"/>
      <c r="H79" s="2"/>
      <c r="I79" s="2"/>
      <c r="J79" s="2"/>
      <c r="M79" s="29"/>
      <c r="P79" s="4"/>
    </row>
    <row r="80" spans="3:16" ht="9.9499999999999993" customHeight="1">
      <c r="C80" s="2"/>
      <c r="D80" s="2"/>
      <c r="E80" s="2"/>
      <c r="H80" s="2"/>
      <c r="I80" s="2"/>
      <c r="J80" s="2"/>
      <c r="P80" s="4"/>
    </row>
    <row r="81" spans="2:16" ht="9.9499999999999993" customHeight="1">
      <c r="C81" s="2"/>
      <c r="D81" s="2"/>
      <c r="E81" s="2"/>
      <c r="H81" s="2"/>
      <c r="I81" s="2"/>
      <c r="J81" s="2"/>
      <c r="P81" s="4"/>
    </row>
    <row r="82" spans="2:16" ht="9.9499999999999993" customHeight="1">
      <c r="C82" s="2"/>
      <c r="D82" s="2"/>
      <c r="E82" s="2"/>
      <c r="H82" s="2"/>
      <c r="I82" s="2"/>
      <c r="J82" s="2"/>
      <c r="P82" s="4"/>
    </row>
    <row r="83" spans="2:16" s="29" customFormat="1" ht="9.9499999999999993" customHeight="1">
      <c r="B83" s="379"/>
      <c r="C83" s="2"/>
      <c r="D83" s="2"/>
      <c r="E83" s="2"/>
      <c r="F83" s="2"/>
      <c r="G83" s="2"/>
      <c r="H83" s="2"/>
      <c r="I83" s="2"/>
      <c r="J83" s="2"/>
      <c r="P83" s="4"/>
    </row>
    <row r="84" spans="2:16" s="29" customFormat="1" ht="9.9499999999999993" customHeight="1">
      <c r="B84" s="379"/>
      <c r="C84" s="2"/>
      <c r="D84" s="2"/>
      <c r="E84" s="2"/>
      <c r="F84" s="2"/>
      <c r="G84" s="2"/>
      <c r="H84" s="2"/>
      <c r="I84" s="2"/>
      <c r="J84" s="2"/>
      <c r="P84" s="4"/>
    </row>
    <row r="85" spans="2:16" s="29" customFormat="1" ht="9.9499999999999993" customHeight="1">
      <c r="B85" s="379"/>
      <c r="C85" s="2"/>
      <c r="D85" s="2"/>
      <c r="E85" s="2"/>
      <c r="F85" s="2"/>
      <c r="G85" s="2"/>
      <c r="H85" s="2"/>
      <c r="I85" s="2"/>
      <c r="J85" s="2"/>
      <c r="P85" s="4"/>
    </row>
    <row r="86" spans="2:16" s="29" customFormat="1" ht="9.9499999999999993" customHeight="1" thickBot="1">
      <c r="B86" s="379"/>
      <c r="C86" s="2"/>
      <c r="D86" s="2"/>
      <c r="E86" s="2"/>
      <c r="F86" s="2"/>
      <c r="G86" s="2"/>
      <c r="H86" s="2"/>
      <c r="I86" s="2"/>
      <c r="J86" s="2"/>
      <c r="P86" s="4"/>
    </row>
    <row r="87" spans="2:16" s="29" customFormat="1" ht="24.95" customHeight="1" thickTop="1" thickBot="1">
      <c r="B87" s="380" t="s">
        <v>290</v>
      </c>
      <c r="C87" s="188"/>
      <c r="D87" s="188"/>
      <c r="E87" s="188"/>
      <c r="F87" s="188"/>
      <c r="G87" s="188"/>
      <c r="H87" s="380" t="s">
        <v>291</v>
      </c>
      <c r="I87" s="188"/>
      <c r="J87" s="188"/>
      <c r="P87" s="4"/>
    </row>
    <row r="88" spans="2:16" ht="9.9499999999999993" customHeight="1" thickTop="1">
      <c r="C88" s="2"/>
      <c r="D88" s="2"/>
      <c r="E88" s="2"/>
      <c r="H88" s="2"/>
      <c r="I88" s="2"/>
      <c r="J88" s="2"/>
      <c r="P88" s="4"/>
    </row>
    <row r="89" spans="2:16" ht="9.9499999999999993" customHeight="1">
      <c r="C89" s="2"/>
      <c r="D89" s="2"/>
      <c r="E89" s="2"/>
      <c r="H89" s="2"/>
      <c r="I89" s="2"/>
      <c r="J89" s="2"/>
      <c r="P89" s="4"/>
    </row>
    <row r="90" spans="2:16" ht="9.9499999999999993" customHeight="1">
      <c r="C90" s="2"/>
      <c r="D90" s="2"/>
      <c r="E90" s="2"/>
      <c r="H90" s="2"/>
      <c r="I90" s="2"/>
      <c r="J90" s="2"/>
      <c r="P90" s="4"/>
    </row>
    <row r="91" spans="2:16" ht="9.9499999999999993" customHeight="1">
      <c r="C91" s="2"/>
      <c r="D91" s="2"/>
      <c r="E91" s="2"/>
      <c r="H91" s="2"/>
      <c r="I91" s="2"/>
      <c r="J91" s="2"/>
      <c r="P91" s="4"/>
    </row>
    <row r="92" spans="2:16" ht="9.9499999999999993" customHeight="1">
      <c r="C92" s="2"/>
      <c r="D92" s="2"/>
      <c r="E92" s="2"/>
      <c r="H92" s="2"/>
      <c r="I92" s="2"/>
      <c r="J92" s="2"/>
      <c r="P92" s="4"/>
    </row>
    <row r="93" spans="2:16" ht="9.9499999999999993" customHeight="1">
      <c r="C93" s="2"/>
      <c r="D93" s="2"/>
      <c r="E93" s="2"/>
      <c r="H93" s="2"/>
      <c r="I93" s="2"/>
      <c r="J93" s="2"/>
      <c r="P93" s="4"/>
    </row>
    <row r="94" spans="2:16" ht="9.9499999999999993" customHeight="1">
      <c r="C94" s="2"/>
      <c r="D94" s="2"/>
      <c r="E94" s="2"/>
      <c r="H94" s="2"/>
      <c r="I94" s="2"/>
      <c r="J94" s="2"/>
      <c r="P94" s="4"/>
    </row>
    <row r="95" spans="2:16" ht="9.9499999999999993" customHeight="1">
      <c r="C95" s="2"/>
      <c r="D95" s="2"/>
      <c r="E95" s="2"/>
      <c r="H95" s="2"/>
      <c r="I95" s="2"/>
      <c r="J95" s="2"/>
      <c r="P95" s="4"/>
    </row>
    <row r="96" spans="2:16" ht="9.9499999999999993" customHeight="1">
      <c r="C96" s="2"/>
      <c r="D96" s="2"/>
      <c r="E96" s="2"/>
      <c r="H96" s="2"/>
      <c r="I96" s="2"/>
      <c r="J96" s="2"/>
      <c r="P96" s="4"/>
    </row>
    <row r="97" spans="2:16" ht="9.9499999999999993" customHeight="1">
      <c r="C97" s="2"/>
      <c r="D97" s="2"/>
      <c r="E97" s="2"/>
      <c r="H97" s="2"/>
      <c r="I97" s="2"/>
      <c r="J97" s="2"/>
      <c r="P97" s="4"/>
    </row>
    <row r="98" spans="2:16" ht="9.9499999999999993" customHeight="1">
      <c r="C98" s="2"/>
      <c r="D98" s="2"/>
      <c r="E98" s="2"/>
      <c r="H98" s="2"/>
      <c r="I98" s="2"/>
      <c r="J98" s="2"/>
      <c r="P98" s="4"/>
    </row>
    <row r="99" spans="2:16" ht="9.9499999999999993" customHeight="1">
      <c r="C99" s="2"/>
      <c r="D99" s="2"/>
      <c r="E99" s="2"/>
      <c r="H99" s="2"/>
      <c r="I99" s="2"/>
      <c r="J99" s="2"/>
      <c r="P99" s="4"/>
    </row>
    <row r="100" spans="2:16" ht="9.9499999999999993" customHeight="1">
      <c r="C100" s="2"/>
      <c r="D100" s="2"/>
      <c r="E100" s="2"/>
      <c r="H100" s="2"/>
      <c r="I100" s="2"/>
      <c r="J100" s="2"/>
      <c r="P100" s="4"/>
    </row>
    <row r="101" spans="2:16" ht="9.9499999999999993" customHeight="1">
      <c r="C101" s="2"/>
      <c r="D101" s="2"/>
      <c r="E101" s="2"/>
      <c r="H101" s="2"/>
      <c r="I101" s="2"/>
      <c r="J101" s="2"/>
      <c r="P101" s="4"/>
    </row>
    <row r="102" spans="2:16" ht="9.9499999999999993" customHeight="1">
      <c r="C102" s="2"/>
      <c r="D102" s="2"/>
      <c r="E102" s="2"/>
      <c r="H102" s="2"/>
      <c r="I102" s="2"/>
      <c r="J102" s="2"/>
      <c r="P102" s="4"/>
    </row>
    <row r="103" spans="2:16" ht="9.9499999999999993" customHeight="1">
      <c r="C103" s="2"/>
      <c r="D103" s="2"/>
      <c r="E103" s="2"/>
      <c r="H103" s="2"/>
      <c r="I103" s="2"/>
      <c r="J103" s="2"/>
      <c r="P103" s="4"/>
    </row>
    <row r="104" spans="2:16" ht="9.9499999999999993" customHeight="1">
      <c r="C104" s="2"/>
      <c r="D104" s="2"/>
      <c r="E104" s="2"/>
      <c r="H104" s="2"/>
      <c r="I104" s="2"/>
      <c r="J104" s="2"/>
      <c r="P104" s="4"/>
    </row>
    <row r="105" spans="2:16" ht="9.9499999999999993" customHeight="1">
      <c r="C105" s="2"/>
      <c r="D105" s="2"/>
      <c r="E105" s="2"/>
      <c r="H105" s="2"/>
      <c r="I105" s="2"/>
      <c r="J105" s="2"/>
      <c r="P105" s="4"/>
    </row>
    <row r="106" spans="2:16" ht="9.9499999999999993" customHeight="1">
      <c r="C106" s="2"/>
      <c r="D106" s="2"/>
      <c r="E106" s="2"/>
      <c r="H106" s="2"/>
      <c r="I106" s="2"/>
      <c r="J106" s="2"/>
      <c r="P106" s="4"/>
    </row>
    <row r="107" spans="2:16" ht="9.9499999999999993" customHeight="1">
      <c r="C107" s="2"/>
      <c r="D107" s="2"/>
      <c r="E107" s="2"/>
      <c r="H107" s="2"/>
      <c r="I107" s="2"/>
      <c r="J107" s="2"/>
      <c r="P107" s="4"/>
    </row>
    <row r="108" spans="2:16" s="29" customFormat="1" ht="9.9499999999999993" customHeight="1">
      <c r="B108" s="379"/>
      <c r="C108" s="37"/>
      <c r="D108" s="37"/>
      <c r="E108" s="37"/>
      <c r="F108" s="37"/>
      <c r="G108" s="37"/>
      <c r="H108" s="37"/>
      <c r="I108" s="37"/>
      <c r="J108" s="37"/>
      <c r="P108" s="4"/>
    </row>
    <row r="109" spans="2:16" s="29" customFormat="1" ht="9.9499999999999993" customHeight="1">
      <c r="B109" s="379"/>
      <c r="C109" s="37"/>
      <c r="D109" s="37"/>
      <c r="E109" s="37"/>
      <c r="F109" s="37"/>
      <c r="G109" s="37"/>
      <c r="H109" s="37"/>
      <c r="I109" s="37"/>
      <c r="J109" s="37"/>
      <c r="P109" s="4"/>
    </row>
    <row r="110" spans="2:16" s="29" customFormat="1" ht="9.9499999999999993" customHeight="1">
      <c r="B110" s="379"/>
      <c r="C110" s="37"/>
      <c r="D110" s="37"/>
      <c r="E110" s="37"/>
      <c r="F110" s="37"/>
      <c r="G110" s="37"/>
      <c r="H110" s="37"/>
      <c r="I110" s="37"/>
      <c r="J110" s="37"/>
      <c r="P110" s="4"/>
    </row>
    <row r="111" spans="2:16" s="29" customFormat="1" ht="9.9499999999999993" customHeight="1">
      <c r="B111" s="379"/>
      <c r="C111" s="37"/>
      <c r="D111" s="37"/>
      <c r="E111" s="37"/>
      <c r="F111" s="37"/>
      <c r="G111" s="37"/>
      <c r="H111" s="37"/>
      <c r="I111" s="37"/>
      <c r="J111" s="37"/>
      <c r="P111" s="4"/>
    </row>
    <row r="112" spans="2:16" s="29" customFormat="1" ht="9.9499999999999993" customHeight="1">
      <c r="B112" s="379"/>
      <c r="C112" s="37"/>
      <c r="D112" s="37"/>
      <c r="E112" s="37"/>
      <c r="F112" s="37"/>
      <c r="G112" s="37"/>
      <c r="H112" s="37"/>
      <c r="I112" s="37"/>
      <c r="J112" s="37"/>
      <c r="P112" s="4"/>
    </row>
    <row r="113" spans="1:16" s="29" customFormat="1" ht="9.9499999999999993" customHeight="1">
      <c r="B113" s="379"/>
      <c r="C113" s="37"/>
      <c r="D113" s="37"/>
      <c r="E113" s="37"/>
      <c r="F113" s="37"/>
      <c r="G113" s="37"/>
      <c r="H113" s="37"/>
      <c r="I113" s="37"/>
      <c r="J113" s="37"/>
      <c r="P113" s="4"/>
    </row>
    <row r="114" spans="1:16" s="29" customFormat="1" ht="9.9499999999999993" customHeight="1">
      <c r="B114" s="379"/>
      <c r="C114" s="37"/>
      <c r="D114" s="37"/>
      <c r="E114" s="37"/>
      <c r="F114" s="37"/>
      <c r="G114" s="37"/>
      <c r="H114" s="37"/>
      <c r="I114" s="37"/>
      <c r="J114" s="37"/>
      <c r="P114" s="4"/>
    </row>
    <row r="115" spans="1:16" s="241" customFormat="1" ht="16.5" thickBot="1">
      <c r="B115" s="381"/>
      <c r="P115" s="4"/>
    </row>
    <row r="116" spans="1:16" s="241" customFormat="1" ht="16.5" thickBot="1">
      <c r="A116" s="67"/>
      <c r="B116" s="382"/>
      <c r="C116" s="471" t="s">
        <v>231</v>
      </c>
      <c r="D116" s="327" t="s">
        <v>254</v>
      </c>
      <c r="E116" s="327"/>
      <c r="F116" s="327"/>
      <c r="G116" s="327"/>
      <c r="H116" s="327"/>
      <c r="I116" s="327"/>
      <c r="J116" s="328"/>
      <c r="P116" s="4"/>
    </row>
    <row r="117" spans="1:16" s="29" customFormat="1" ht="6.95" customHeight="1">
      <c r="A117" s="4"/>
      <c r="B117" s="383"/>
      <c r="C117" s="4"/>
      <c r="D117" s="4"/>
      <c r="E117" s="4"/>
      <c r="F117" s="3"/>
      <c r="G117" s="3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9.9499999999999993" customHeight="1" thickBot="1">
      <c r="C118" s="2"/>
      <c r="D118" s="2"/>
      <c r="E118" s="2"/>
      <c r="H118" s="2"/>
      <c r="I118" s="2"/>
      <c r="J118" s="2"/>
      <c r="P118" s="4"/>
    </row>
    <row r="119" spans="1:16" s="306" customFormat="1" ht="16.5" thickTop="1" thickBot="1">
      <c r="B119" s="642" t="s">
        <v>404</v>
      </c>
      <c r="C119" s="591" t="s">
        <v>15</v>
      </c>
      <c r="D119" s="592"/>
      <c r="E119" s="592"/>
      <c r="F119" s="592"/>
      <c r="G119" s="592"/>
      <c r="H119" s="592"/>
      <c r="I119" s="592"/>
      <c r="J119" s="592"/>
      <c r="K119" s="592"/>
      <c r="L119" s="592"/>
      <c r="M119" s="592"/>
      <c r="N119" s="593"/>
      <c r="P119" s="309"/>
    </row>
    <row r="120" spans="1:16" s="306" customFormat="1" ht="16.5" thickTop="1" thickBot="1">
      <c r="B120" s="643"/>
      <c r="C120" s="594" t="s">
        <v>425</v>
      </c>
      <c r="D120" s="595"/>
      <c r="E120" s="595"/>
      <c r="F120" s="595"/>
      <c r="G120" s="595"/>
      <c r="H120" s="595"/>
      <c r="I120" s="595"/>
      <c r="J120" s="595"/>
      <c r="K120" s="595"/>
      <c r="L120" s="595"/>
      <c r="M120" s="595"/>
      <c r="N120" s="596"/>
      <c r="P120" s="309"/>
    </row>
    <row r="121" spans="1:16" s="306" customFormat="1" ht="17.25" customHeight="1" thickTop="1" thickBot="1">
      <c r="B121" s="379"/>
      <c r="C121" s="612" t="s">
        <v>363</v>
      </c>
      <c r="D121" s="599" t="s">
        <v>294</v>
      </c>
      <c r="E121" s="599" t="s">
        <v>361</v>
      </c>
      <c r="F121" s="597" t="s">
        <v>362</v>
      </c>
      <c r="G121" s="599" t="s">
        <v>298</v>
      </c>
      <c r="H121" s="601" t="s">
        <v>355</v>
      </c>
      <c r="I121" s="588" t="s">
        <v>229</v>
      </c>
      <c r="J121" s="589"/>
      <c r="K121" s="590"/>
      <c r="L121" s="588" t="s">
        <v>230</v>
      </c>
      <c r="M121" s="589"/>
      <c r="N121" s="590"/>
      <c r="O121" s="360"/>
      <c r="P121" s="309"/>
    </row>
    <row r="122" spans="1:16" s="306" customFormat="1" ht="36" customHeight="1" thickTop="1" thickBot="1">
      <c r="B122" s="379"/>
      <c r="C122" s="613"/>
      <c r="D122" s="600"/>
      <c r="E122" s="600"/>
      <c r="F122" s="598"/>
      <c r="G122" s="600"/>
      <c r="H122" s="602"/>
      <c r="I122" s="15" t="s">
        <v>295</v>
      </c>
      <c r="J122" s="15" t="s">
        <v>301</v>
      </c>
      <c r="K122" s="281" t="s">
        <v>299</v>
      </c>
      <c r="L122" s="192" t="s">
        <v>297</v>
      </c>
      <c r="M122" s="15" t="s">
        <v>302</v>
      </c>
      <c r="N122" s="361" t="s">
        <v>300</v>
      </c>
      <c r="P122" s="309"/>
    </row>
    <row r="123" spans="1:16" s="306" customFormat="1" thickTop="1">
      <c r="B123" s="379"/>
      <c r="C123" s="366" t="s">
        <v>203</v>
      </c>
      <c r="D123" s="311">
        <f>+'Raw Data'!I4</f>
        <v>11875</v>
      </c>
      <c r="E123" s="311">
        <f>+'Trend Dashboard'!AD151</f>
        <v>0</v>
      </c>
      <c r="F123" s="270">
        <f>+D123-E123</f>
        <v>11875</v>
      </c>
      <c r="G123" s="308">
        <f>+'Raw Data'!I31</f>
        <v>82087.5</v>
      </c>
      <c r="H123" s="32">
        <f>+D123/$D$126</f>
        <v>5.8991308729759898E-2</v>
      </c>
      <c r="I123" s="96">
        <f>+D123/$N$33</f>
        <v>4.75</v>
      </c>
      <c r="J123" s="96">
        <f>+E123/$N$33</f>
        <v>0</v>
      </c>
      <c r="K123" s="96">
        <f>+G123/$N$33</f>
        <v>32.835000000000001</v>
      </c>
      <c r="L123" s="194">
        <f>+D123/$N$26</f>
        <v>5937.5</v>
      </c>
      <c r="M123" s="194">
        <f>+E123/$N$26</f>
        <v>0</v>
      </c>
      <c r="N123" s="23">
        <f>+G123/$N$26</f>
        <v>41043.75</v>
      </c>
      <c r="P123" s="309"/>
    </row>
    <row r="124" spans="1:16" s="306" customFormat="1" ht="15">
      <c r="B124" s="379"/>
      <c r="C124" s="366" t="s">
        <v>144</v>
      </c>
      <c r="D124" s="429">
        <f>+'Raw Data'!I5</f>
        <v>172896.37</v>
      </c>
      <c r="E124" s="429">
        <f>+'Trend Dashboard'!AD152</f>
        <v>182634</v>
      </c>
      <c r="F124" s="271">
        <f>+D124-E124</f>
        <v>-9737.6300000000047</v>
      </c>
      <c r="G124" s="430">
        <f>+'Raw Data'!I32</f>
        <v>1178225.47</v>
      </c>
      <c r="H124" s="32">
        <f>+D124/$D$126</f>
        <v>0.85889542239366712</v>
      </c>
      <c r="I124" s="96">
        <f>+D124/$N$36</f>
        <v>4.6687108794858636</v>
      </c>
      <c r="J124" s="96">
        <f>+E124/$N$36</f>
        <v>4.9316555504549999</v>
      </c>
      <c r="K124" s="96">
        <f>+G124/$N$36</f>
        <v>31.815555585558826</v>
      </c>
      <c r="L124" s="189">
        <f>+D124/$N$29</f>
        <v>3457.9274</v>
      </c>
      <c r="M124" s="23">
        <f>+E124/$N$29</f>
        <v>3652.68</v>
      </c>
      <c r="N124" s="23">
        <f>+G124/$N$29</f>
        <v>23564.509399999999</v>
      </c>
      <c r="P124" s="309"/>
    </row>
    <row r="125" spans="1:16" s="306" customFormat="1" thickBot="1">
      <c r="B125" s="379"/>
      <c r="C125" s="366" t="s">
        <v>145</v>
      </c>
      <c r="D125" s="429">
        <f>+'Raw Data'!I6</f>
        <v>16529.47</v>
      </c>
      <c r="E125" s="429">
        <f>+SUM('Trend Dashboard'!AD153:AD154)</f>
        <v>3802</v>
      </c>
      <c r="F125" s="272">
        <f>+D125-E125</f>
        <v>12727.470000000001</v>
      </c>
      <c r="G125" s="430">
        <f>+'Raw Data'!I33</f>
        <v>113578.53</v>
      </c>
      <c r="H125" s="32">
        <f>+D125/$D$126</f>
        <v>8.2113268876572998E-2</v>
      </c>
      <c r="I125" s="96">
        <f>+D125/$N$36</f>
        <v>0.44634434153322716</v>
      </c>
      <c r="J125" s="96">
        <f>+E125/$N$36</f>
        <v>0.10266519050576513</v>
      </c>
      <c r="K125" s="96">
        <f>+G125/$N$36</f>
        <v>3.0669546080522778</v>
      </c>
      <c r="L125" s="280">
        <f>+D125/$N$29</f>
        <v>330.58940000000001</v>
      </c>
      <c r="M125" s="23">
        <f>+E125/$N$29</f>
        <v>76.040000000000006</v>
      </c>
      <c r="N125" s="23">
        <f>+G125/$N$29</f>
        <v>2271.5706</v>
      </c>
      <c r="P125" s="309"/>
    </row>
    <row r="126" spans="1:16" ht="17.25" thickTop="1" thickBot="1">
      <c r="C126" s="5" t="s">
        <v>135</v>
      </c>
      <c r="D126" s="11">
        <f>D123+D124+D125</f>
        <v>201300.84</v>
      </c>
      <c r="E126" s="11">
        <f>E123+E124+E125</f>
        <v>186436</v>
      </c>
      <c r="F126" s="273">
        <f>SUM(F123:F125)</f>
        <v>14864.839999999997</v>
      </c>
      <c r="G126" s="11">
        <f>G123+G124+G125</f>
        <v>1373891.5</v>
      </c>
      <c r="H126" s="30">
        <f t="shared" ref="H126" si="0">H123+H124+H125</f>
        <v>1</v>
      </c>
      <c r="I126" s="97">
        <f t="shared" ref="I126:K126" si="1">I123+I124+I125</f>
        <v>9.8650552210190909</v>
      </c>
      <c r="J126" s="97">
        <f t="shared" si="1"/>
        <v>5.0343207409607649</v>
      </c>
      <c r="K126" s="97">
        <f t="shared" si="1"/>
        <v>67.717510193611105</v>
      </c>
      <c r="L126" s="191">
        <f t="shared" ref="L126:N126" si="2">L123+L124+L125</f>
        <v>9726.0168000000012</v>
      </c>
      <c r="M126" s="24">
        <f t="shared" si="2"/>
        <v>3728.72</v>
      </c>
      <c r="N126" s="24">
        <f t="shared" si="2"/>
        <v>66879.83</v>
      </c>
      <c r="P126" s="4"/>
    </row>
    <row r="127" spans="1:16" ht="9.9499999999999993" customHeight="1" thickTop="1" thickBot="1">
      <c r="C127" s="6"/>
      <c r="D127" s="14"/>
      <c r="E127" s="14"/>
      <c r="F127" s="431"/>
      <c r="G127" s="25"/>
      <c r="H127" s="18"/>
      <c r="I127" s="427"/>
      <c r="J127" s="427"/>
      <c r="K127" s="427"/>
      <c r="L127" s="25"/>
      <c r="M127" s="437"/>
      <c r="N127" s="438"/>
      <c r="P127" s="4"/>
    </row>
    <row r="128" spans="1:16" s="306" customFormat="1" ht="16.5" thickTop="1" thickBot="1">
      <c r="B128" s="379"/>
      <c r="C128" s="317" t="s">
        <v>16</v>
      </c>
      <c r="D128" s="432"/>
      <c r="E128" s="432"/>
      <c r="F128" s="273"/>
      <c r="G128" s="432"/>
      <c r="H128" s="16"/>
      <c r="I128" s="428"/>
      <c r="J128" s="428"/>
      <c r="K128" s="428"/>
      <c r="L128" s="432"/>
      <c r="M128" s="273"/>
      <c r="N128" s="273"/>
      <c r="P128" s="309"/>
    </row>
    <row r="129" spans="2:16" s="306" customFormat="1" thickTop="1">
      <c r="B129" s="379"/>
      <c r="C129" s="318" t="s">
        <v>303</v>
      </c>
      <c r="D129" s="433"/>
      <c r="E129" s="433"/>
      <c r="F129" s="276"/>
      <c r="G129" s="433"/>
      <c r="H129" s="33"/>
      <c r="I129" s="435"/>
      <c r="J129" s="435"/>
      <c r="K129" s="436"/>
      <c r="L129" s="194"/>
      <c r="M129" s="19"/>
      <c r="N129" s="285"/>
      <c r="P129" s="309"/>
    </row>
    <row r="130" spans="2:16" s="306" customFormat="1" ht="15">
      <c r="B130" s="379"/>
      <c r="C130" s="307" t="s">
        <v>204</v>
      </c>
      <c r="D130" s="434">
        <f>+'Trend Dashboard'!AC157</f>
        <v>5186.2700000000004</v>
      </c>
      <c r="E130" s="434">
        <f>+'Trend Dashboard'!AD157</f>
        <v>8209</v>
      </c>
      <c r="F130" s="271">
        <f t="shared" ref="F130:F138" si="3">+D130-E130</f>
        <v>-3022.7299999999996</v>
      </c>
      <c r="G130" s="430">
        <f>+'Trend Dashboard'!AE157</f>
        <v>38312.130000000005</v>
      </c>
      <c r="H130" s="32">
        <f t="shared" ref="H130:H138" si="4">+D130/$D$126</f>
        <v>2.5763777240075107E-2</v>
      </c>
      <c r="I130" s="96">
        <f>+D130/$N$37</f>
        <v>0.13118837426959756</v>
      </c>
      <c r="J130" s="96">
        <f>+E130/$N$37</f>
        <v>0.20764930564338654</v>
      </c>
      <c r="K130" s="96">
        <f>+G130/$N$37</f>
        <v>0.96911769913742962</v>
      </c>
      <c r="L130" s="189">
        <f>+D130/$N$30</f>
        <v>99.735961538461552</v>
      </c>
      <c r="M130" s="23">
        <f>+E130/$N$30</f>
        <v>157.86538461538461</v>
      </c>
      <c r="N130" s="23">
        <f>+G130/$N$30</f>
        <v>736.77173076923089</v>
      </c>
      <c r="P130" s="309"/>
    </row>
    <row r="131" spans="2:16" s="306" customFormat="1" ht="15">
      <c r="B131" s="379"/>
      <c r="C131" s="307" t="s">
        <v>205</v>
      </c>
      <c r="D131" s="434">
        <f>+'Trend Dashboard'!AC158</f>
        <v>5862.95</v>
      </c>
      <c r="E131" s="434">
        <f>+'Trend Dashboard'!AD158</f>
        <v>3827</v>
      </c>
      <c r="F131" s="271">
        <f t="shared" si="3"/>
        <v>2035.9499999999998</v>
      </c>
      <c r="G131" s="430">
        <f>+'Trend Dashboard'!AE158</f>
        <v>30484.15</v>
      </c>
      <c r="H131" s="32">
        <f t="shared" si="4"/>
        <v>2.9125313138285959E-2</v>
      </c>
      <c r="I131" s="96">
        <f t="shared" ref="I131:I138" si="5">+D131/$N$37</f>
        <v>0.1483052133660486</v>
      </c>
      <c r="J131" s="96">
        <f t="shared" ref="J131:J138" si="6">+E131/$N$37</f>
        <v>9.6805200718387177E-2</v>
      </c>
      <c r="K131" s="96">
        <f t="shared" ref="K131:K138" si="7">+G131/$N$37</f>
        <v>0.77110641742341846</v>
      </c>
      <c r="L131" s="189">
        <f t="shared" ref="L131:L138" si="8">+D131/$N$30</f>
        <v>112.74903846153846</v>
      </c>
      <c r="M131" s="23">
        <f t="shared" ref="M131:M138" si="9">+E131/$N$30</f>
        <v>73.59615384615384</v>
      </c>
      <c r="N131" s="23">
        <f t="shared" ref="N131:N138" si="10">+G131/$N$30</f>
        <v>586.23365384615386</v>
      </c>
      <c r="P131" s="309"/>
    </row>
    <row r="132" spans="2:16" s="306" customFormat="1" ht="15">
      <c r="B132" s="379"/>
      <c r="C132" s="307" t="s">
        <v>206</v>
      </c>
      <c r="D132" s="434">
        <f>+'Trend Dashboard'!AC159</f>
        <v>6129.36</v>
      </c>
      <c r="E132" s="434">
        <f>+'Trend Dashboard'!AD159</f>
        <v>0</v>
      </c>
      <c r="F132" s="271">
        <f t="shared" si="3"/>
        <v>6129.36</v>
      </c>
      <c r="G132" s="430">
        <f>+'Trend Dashboard'!AE159</f>
        <v>15857.08</v>
      </c>
      <c r="H132" s="32">
        <f t="shared" si="4"/>
        <v>3.0448755206386621E-2</v>
      </c>
      <c r="I132" s="96">
        <f t="shared" si="5"/>
        <v>0.1550441403384514</v>
      </c>
      <c r="J132" s="96">
        <f t="shared" si="6"/>
        <v>0</v>
      </c>
      <c r="K132" s="96">
        <f t="shared" si="7"/>
        <v>0.40110995876862365</v>
      </c>
      <c r="L132" s="189">
        <f t="shared" si="8"/>
        <v>117.87230769230769</v>
      </c>
      <c r="M132" s="23">
        <f t="shared" si="9"/>
        <v>0</v>
      </c>
      <c r="N132" s="23">
        <f t="shared" si="10"/>
        <v>304.94384615384615</v>
      </c>
      <c r="P132" s="309"/>
    </row>
    <row r="133" spans="2:16" s="306" customFormat="1" ht="15">
      <c r="B133" s="379"/>
      <c r="C133" s="307" t="s">
        <v>207</v>
      </c>
      <c r="D133" s="434">
        <f>+'Trend Dashboard'!AC160</f>
        <v>5859.7</v>
      </c>
      <c r="E133" s="434">
        <f>+'Trend Dashboard'!AD160</f>
        <v>4661</v>
      </c>
      <c r="F133" s="271">
        <f t="shared" si="3"/>
        <v>1198.6999999999998</v>
      </c>
      <c r="G133" s="430">
        <f>+'Trend Dashboard'!AE160</f>
        <v>35139.620000000003</v>
      </c>
      <c r="H133" s="32">
        <f t="shared" si="4"/>
        <v>2.910916814852834E-2</v>
      </c>
      <c r="I133" s="96">
        <f t="shared" si="5"/>
        <v>0.14822300356664053</v>
      </c>
      <c r="J133" s="96">
        <f t="shared" si="6"/>
        <v>0.11790150001264767</v>
      </c>
      <c r="K133" s="96">
        <f t="shared" si="7"/>
        <v>0.88886803430045791</v>
      </c>
      <c r="L133" s="189">
        <f t="shared" si="8"/>
        <v>112.68653846153846</v>
      </c>
      <c r="M133" s="23">
        <f t="shared" si="9"/>
        <v>89.634615384615387</v>
      </c>
      <c r="N133" s="23">
        <f t="shared" si="10"/>
        <v>675.76192307692315</v>
      </c>
      <c r="P133" s="309"/>
    </row>
    <row r="134" spans="2:16" s="306" customFormat="1" ht="15">
      <c r="B134" s="379"/>
      <c r="C134" s="307" t="s">
        <v>208</v>
      </c>
      <c r="D134" s="434">
        <f>+'Trend Dashboard'!AC161</f>
        <v>1650.55</v>
      </c>
      <c r="E134" s="434">
        <f>+'Trend Dashboard'!AD161</f>
        <v>1941</v>
      </c>
      <c r="F134" s="271">
        <f t="shared" si="3"/>
        <v>-290.45000000000005</v>
      </c>
      <c r="G134" s="430">
        <f>+'Trend Dashboard'!AE161</f>
        <v>12724.03</v>
      </c>
      <c r="H134" s="32">
        <f t="shared" si="4"/>
        <v>8.1994193367499104E-3</v>
      </c>
      <c r="I134" s="96">
        <f t="shared" si="5"/>
        <v>4.1751195204006775E-2</v>
      </c>
      <c r="J134" s="96">
        <f t="shared" si="6"/>
        <v>4.9098221738800497E-2</v>
      </c>
      <c r="K134" s="96">
        <f t="shared" si="7"/>
        <v>0.32185844737308072</v>
      </c>
      <c r="L134" s="189">
        <f t="shared" si="8"/>
        <v>31.741346153846152</v>
      </c>
      <c r="M134" s="23">
        <f t="shared" si="9"/>
        <v>37.32692307692308</v>
      </c>
      <c r="N134" s="23">
        <f t="shared" si="10"/>
        <v>244.69288461538463</v>
      </c>
      <c r="P134" s="309"/>
    </row>
    <row r="135" spans="2:16" s="306" customFormat="1" ht="15">
      <c r="B135" s="379"/>
      <c r="C135" s="307" t="s">
        <v>209</v>
      </c>
      <c r="D135" s="434">
        <f>+'Trend Dashboard'!AC162</f>
        <v>19821.29</v>
      </c>
      <c r="E135" s="434">
        <f>+'Trend Dashboard'!AD162</f>
        <v>19821</v>
      </c>
      <c r="F135" s="271">
        <f t="shared" si="3"/>
        <v>0.29000000000087311</v>
      </c>
      <c r="G135" s="430">
        <f>+'Trend Dashboard'!AE162</f>
        <v>136417.12</v>
      </c>
      <c r="H135" s="32">
        <f t="shared" si="4"/>
        <v>9.8466007394703375E-2</v>
      </c>
      <c r="I135" s="96">
        <f t="shared" si="5"/>
        <v>0.50138593074140592</v>
      </c>
      <c r="J135" s="96">
        <f t="shared" si="6"/>
        <v>0.50137859509776639</v>
      </c>
      <c r="K135" s="96">
        <f t="shared" si="7"/>
        <v>3.4507150987782356</v>
      </c>
      <c r="L135" s="189">
        <f t="shared" si="8"/>
        <v>381.17865384615385</v>
      </c>
      <c r="M135" s="23">
        <f t="shared" si="9"/>
        <v>381.17307692307691</v>
      </c>
      <c r="N135" s="23">
        <f t="shared" si="10"/>
        <v>2623.4061538461538</v>
      </c>
      <c r="P135" s="309"/>
    </row>
    <row r="136" spans="2:16" s="306" customFormat="1" ht="15">
      <c r="B136" s="379"/>
      <c r="C136" s="307" t="s">
        <v>210</v>
      </c>
      <c r="D136" s="434">
        <f>+'Trend Dashboard'!AC163</f>
        <v>4685.46</v>
      </c>
      <c r="E136" s="434">
        <f>+'Trend Dashboard'!AD163</f>
        <v>2915</v>
      </c>
      <c r="F136" s="271">
        <f t="shared" si="3"/>
        <v>1770.46</v>
      </c>
      <c r="G136" s="430">
        <f>+'Trend Dashboard'!AE163</f>
        <v>15415.11</v>
      </c>
      <c r="H136" s="32">
        <f t="shared" si="4"/>
        <v>2.3275908833763438E-2</v>
      </c>
      <c r="I136" s="96">
        <f t="shared" si="5"/>
        <v>0.1185202236106544</v>
      </c>
      <c r="J136" s="96">
        <f t="shared" si="6"/>
        <v>7.3735866238332531E-2</v>
      </c>
      <c r="K136" s="96">
        <f t="shared" si="7"/>
        <v>0.38993018490881037</v>
      </c>
      <c r="L136" s="189">
        <f t="shared" si="8"/>
        <v>90.105000000000004</v>
      </c>
      <c r="M136" s="23">
        <f t="shared" si="9"/>
        <v>56.057692307692307</v>
      </c>
      <c r="N136" s="23">
        <f t="shared" si="10"/>
        <v>296.4444230769231</v>
      </c>
      <c r="P136" s="309"/>
    </row>
    <row r="137" spans="2:16" s="306" customFormat="1" ht="15">
      <c r="B137" s="379"/>
      <c r="C137" s="307" t="s">
        <v>211</v>
      </c>
      <c r="D137" s="434">
        <f>+'Trend Dashboard'!AC164</f>
        <v>258.65999999999997</v>
      </c>
      <c r="E137" s="434">
        <f>+'Trend Dashboard'!AD164</f>
        <v>185</v>
      </c>
      <c r="F137" s="271">
        <f t="shared" si="3"/>
        <v>73.659999999999968</v>
      </c>
      <c r="G137" s="430">
        <f>+'Trend Dashboard'!AE164</f>
        <v>4513.5600000000004</v>
      </c>
      <c r="H137" s="32">
        <f t="shared" si="4"/>
        <v>1.2849424771401846E-3</v>
      </c>
      <c r="I137" s="96">
        <f t="shared" si="5"/>
        <v>6.5428882199681272E-3</v>
      </c>
      <c r="J137" s="96">
        <f t="shared" si="6"/>
        <v>4.6796347355373994E-3</v>
      </c>
      <c r="K137" s="96">
        <f t="shared" si="7"/>
        <v>0.11417195760503884</v>
      </c>
      <c r="L137" s="189">
        <f t="shared" si="8"/>
        <v>4.9742307692307683</v>
      </c>
      <c r="M137" s="23">
        <f t="shared" si="9"/>
        <v>3.5576923076923075</v>
      </c>
      <c r="N137" s="23">
        <f t="shared" si="10"/>
        <v>86.799230769230775</v>
      </c>
      <c r="P137" s="309"/>
    </row>
    <row r="138" spans="2:16" s="306" customFormat="1" thickBot="1">
      <c r="B138" s="379"/>
      <c r="C138" s="310" t="s">
        <v>212</v>
      </c>
      <c r="D138" s="434">
        <f>+'Trend Dashboard'!AC165</f>
        <v>10858.75</v>
      </c>
      <c r="E138" s="434">
        <f>+'Trend Dashboard'!AD165</f>
        <v>8959.2800000000007</v>
      </c>
      <c r="F138" s="272">
        <f t="shared" si="3"/>
        <v>1899.4699999999993</v>
      </c>
      <c r="G138" s="430">
        <f>+'Trend Dashboard'!AE165</f>
        <v>74859.47</v>
      </c>
      <c r="H138" s="32">
        <f t="shared" si="4"/>
        <v>5.3942894624781496E-2</v>
      </c>
      <c r="I138" s="96">
        <f t="shared" si="5"/>
        <v>0.27467558748387422</v>
      </c>
      <c r="J138" s="96">
        <f t="shared" si="6"/>
        <v>0.22662788050489466</v>
      </c>
      <c r="K138" s="96">
        <f t="shared" si="7"/>
        <v>1.8935944653833507</v>
      </c>
      <c r="L138" s="189">
        <f t="shared" si="8"/>
        <v>208.82211538461539</v>
      </c>
      <c r="M138" s="23">
        <f t="shared" si="9"/>
        <v>172.29384615384618</v>
      </c>
      <c r="N138" s="23">
        <f t="shared" si="10"/>
        <v>1439.6051923076923</v>
      </c>
      <c r="P138" s="309"/>
    </row>
    <row r="139" spans="2:16" s="306" customFormat="1" ht="16.5" thickTop="1" thickBot="1">
      <c r="B139" s="379"/>
      <c r="C139" s="319" t="s">
        <v>136</v>
      </c>
      <c r="D139" s="24">
        <f t="shared" ref="D139:N139" si="11">SUM(D130:D138)</f>
        <v>60312.990000000005</v>
      </c>
      <c r="E139" s="24">
        <f t="shared" si="11"/>
        <v>50518.28</v>
      </c>
      <c r="F139" s="274">
        <f>SUM(F130:F138)</f>
        <v>9794.7099999999991</v>
      </c>
      <c r="G139" s="24">
        <f t="shared" si="11"/>
        <v>363722.27</v>
      </c>
      <c r="H139" s="30">
        <f t="shared" si="11"/>
        <v>0.29961618640041443</v>
      </c>
      <c r="I139" s="97">
        <f t="shared" si="11"/>
        <v>1.5256365568006474</v>
      </c>
      <c r="J139" s="97">
        <f t="shared" si="11"/>
        <v>1.2778762046897529</v>
      </c>
      <c r="K139" s="97">
        <f t="shared" si="11"/>
        <v>9.2004722636784457</v>
      </c>
      <c r="L139" s="191">
        <f t="shared" si="11"/>
        <v>1159.8651923076923</v>
      </c>
      <c r="M139" s="24">
        <f t="shared" si="11"/>
        <v>971.50538461538451</v>
      </c>
      <c r="N139" s="24">
        <f t="shared" si="11"/>
        <v>6994.6590384615383</v>
      </c>
      <c r="P139" s="309"/>
    </row>
    <row r="140" spans="2:16" ht="9.9499999999999993" customHeight="1" thickTop="1" thickBot="1">
      <c r="C140" s="6"/>
      <c r="D140" s="7"/>
      <c r="E140" s="7"/>
      <c r="F140" s="25"/>
      <c r="G140" s="7"/>
      <c r="H140" s="18"/>
      <c r="I140" s="18"/>
      <c r="J140" s="18"/>
      <c r="K140" s="18"/>
      <c r="L140" s="25"/>
      <c r="M140" s="25"/>
      <c r="N140" s="25"/>
      <c r="P140" s="4"/>
    </row>
    <row r="141" spans="2:16" s="306" customFormat="1" ht="16.5" thickTop="1" thickBot="1">
      <c r="B141" s="379"/>
      <c r="C141" s="320" t="s">
        <v>148</v>
      </c>
      <c r="D141" s="26">
        <f t="shared" ref="D141:G141" si="12">D126-D139</f>
        <v>140987.84999999998</v>
      </c>
      <c r="E141" s="26">
        <f t="shared" si="12"/>
        <v>135917.72</v>
      </c>
      <c r="F141" s="275">
        <f>F126-F139</f>
        <v>5070.1299999999974</v>
      </c>
      <c r="G141" s="26">
        <f t="shared" si="12"/>
        <v>1010169.23</v>
      </c>
      <c r="H141" s="31">
        <f t="shared" ref="H141:N141" si="13">H126-H139</f>
        <v>0.70038381359958557</v>
      </c>
      <c r="I141" s="17">
        <f t="shared" si="13"/>
        <v>8.339418664218444</v>
      </c>
      <c r="J141" s="17">
        <f t="shared" si="13"/>
        <v>3.7564445362710117</v>
      </c>
      <c r="K141" s="17">
        <f t="shared" si="13"/>
        <v>58.517037929932656</v>
      </c>
      <c r="L141" s="193">
        <f t="shared" si="13"/>
        <v>8566.151607692309</v>
      </c>
      <c r="M141" s="26">
        <f t="shared" si="13"/>
        <v>2757.2146153846152</v>
      </c>
      <c r="N141" s="26">
        <f t="shared" si="13"/>
        <v>59885.170961538461</v>
      </c>
      <c r="P141" s="309"/>
    </row>
    <row r="142" spans="2:16" ht="9.9499999999999993" customHeight="1" thickTop="1">
      <c r="C142" s="9"/>
      <c r="D142" s="12"/>
      <c r="E142" s="12"/>
      <c r="F142" s="276"/>
      <c r="G142" s="12"/>
      <c r="H142" s="34"/>
      <c r="I142" s="21"/>
      <c r="J142" s="22"/>
      <c r="K142" s="282"/>
      <c r="L142" s="194"/>
      <c r="M142" s="19"/>
      <c r="N142" s="285"/>
      <c r="P142" s="4"/>
    </row>
    <row r="143" spans="2:16" s="306" customFormat="1" ht="15">
      <c r="B143" s="379"/>
      <c r="C143" s="312" t="s">
        <v>353</v>
      </c>
      <c r="D143" s="313">
        <f>+'Trend Dashboard'!AC168</f>
        <v>68067.73</v>
      </c>
      <c r="E143" s="313">
        <v>65872</v>
      </c>
      <c r="F143" s="271">
        <f>+D143-E143</f>
        <v>2195.7299999999959</v>
      </c>
      <c r="G143" s="313">
        <f>+'Trend Dashboard'!AE168</f>
        <v>465495.45</v>
      </c>
      <c r="H143" s="32">
        <f>+D143/$D$126</f>
        <v>0.33813932420748966</v>
      </c>
      <c r="I143" s="96">
        <f>+D143/$N$37</f>
        <v>1.7217952090658437</v>
      </c>
      <c r="J143" s="96">
        <f>+E143/$N$37</f>
        <v>1.6662535097260516</v>
      </c>
      <c r="K143" s="96">
        <f>+G143/$N$37</f>
        <v>11.774857713808718</v>
      </c>
      <c r="L143" s="189">
        <f>+D143/$N$30</f>
        <v>1308.9948076923076</v>
      </c>
      <c r="M143" s="23">
        <f>+E143/$N$30</f>
        <v>1266.7692307692307</v>
      </c>
      <c r="N143" s="23">
        <f>+G143/$N$30</f>
        <v>8951.8355769230766</v>
      </c>
      <c r="P143" s="309"/>
    </row>
    <row r="144" spans="2:16" s="306" customFormat="1" ht="9.9499999999999993" customHeight="1">
      <c r="B144" s="379"/>
      <c r="C144" s="314"/>
      <c r="D144" s="315"/>
      <c r="E144" s="315"/>
      <c r="F144" s="277"/>
      <c r="G144" s="315"/>
      <c r="H144" s="35"/>
      <c r="I144" s="99"/>
      <c r="J144" s="99"/>
      <c r="K144" s="283"/>
      <c r="L144" s="189"/>
      <c r="M144" s="27"/>
      <c r="N144" s="286"/>
      <c r="P144" s="309"/>
    </row>
    <row r="145" spans="1:16" s="306" customFormat="1" ht="15">
      <c r="B145" s="379"/>
      <c r="C145" s="312" t="s">
        <v>354</v>
      </c>
      <c r="D145" s="316">
        <f>+'Trend Dashboard'!AC169</f>
        <v>1541.5299999999988</v>
      </c>
      <c r="E145" s="316">
        <v>450</v>
      </c>
      <c r="F145" s="271">
        <f>+D145-E145</f>
        <v>1091.5299999999988</v>
      </c>
      <c r="G145" s="316">
        <f>+'Trend Dashboard'!AE169</f>
        <v>27403.060000000056</v>
      </c>
      <c r="H145" s="32">
        <f>+D145/$D$126</f>
        <v>7.6578418649420384E-3</v>
      </c>
      <c r="I145" s="96">
        <f>+D145/$N$37</f>
        <v>3.8993499102016008E-2</v>
      </c>
      <c r="J145" s="96">
        <f>+E145/$N$37</f>
        <v>1.1382895302658538E-2</v>
      </c>
      <c r="K145" s="96">
        <f>+G145/$N$37</f>
        <v>0.69316925100549054</v>
      </c>
      <c r="L145" s="189">
        <f>+D145/$N$30</f>
        <v>29.644807692307669</v>
      </c>
      <c r="M145" s="23">
        <f>+E145/$N$30</f>
        <v>8.6538461538461533</v>
      </c>
      <c r="N145" s="23">
        <f>+G145/$N$30</f>
        <v>526.9819230769242</v>
      </c>
      <c r="P145" s="309"/>
    </row>
    <row r="146" spans="1:16" ht="9.9499999999999993" customHeight="1" thickBot="1">
      <c r="C146" s="10"/>
      <c r="D146" s="13"/>
      <c r="E146" s="13"/>
      <c r="F146" s="278"/>
      <c r="G146" s="13"/>
      <c r="H146" s="36"/>
      <c r="I146" s="100"/>
      <c r="J146" s="100"/>
      <c r="K146" s="284"/>
      <c r="L146" s="190"/>
      <c r="M146" s="20"/>
      <c r="N146" s="287"/>
      <c r="P146" s="4"/>
    </row>
    <row r="147" spans="1:16" ht="9.9499999999999993" customHeight="1" thickTop="1" thickBot="1">
      <c r="C147" s="6"/>
      <c r="D147" s="14"/>
      <c r="E147" s="14"/>
      <c r="F147" s="279"/>
      <c r="G147" s="14"/>
      <c r="H147" s="8"/>
      <c r="I147" s="8"/>
      <c r="J147" s="8"/>
      <c r="K147" s="8"/>
      <c r="L147" s="195"/>
      <c r="M147" s="28"/>
      <c r="N147" s="28"/>
      <c r="P147" s="4"/>
    </row>
    <row r="148" spans="1:16" s="306" customFormat="1" ht="16.5" thickTop="1" thickBot="1">
      <c r="B148" s="379"/>
      <c r="C148" s="319" t="s">
        <v>134</v>
      </c>
      <c r="D148" s="24">
        <f>D141-D143-D145</f>
        <v>71378.589999999982</v>
      </c>
      <c r="E148" s="24">
        <f t="shared" ref="E148:G148" si="14">E141-E143-E145</f>
        <v>69595.72</v>
      </c>
      <c r="F148" s="273">
        <f>F141-F143-F145</f>
        <v>1782.8700000000026</v>
      </c>
      <c r="G148" s="24">
        <f t="shared" si="14"/>
        <v>517270.72</v>
      </c>
      <c r="H148" s="30">
        <f t="shared" ref="H148:N148" si="15">H141-H143-H145</f>
        <v>0.35458664752715385</v>
      </c>
      <c r="I148" s="97">
        <f t="shared" si="15"/>
        <v>6.5786299560505839</v>
      </c>
      <c r="J148" s="97">
        <f t="shared" si="15"/>
        <v>2.0788081312423015</v>
      </c>
      <c r="K148" s="97">
        <f t="shared" si="15"/>
        <v>46.049010965118448</v>
      </c>
      <c r="L148" s="191">
        <f t="shared" si="15"/>
        <v>7227.5119923076936</v>
      </c>
      <c r="M148" s="24">
        <f t="shared" si="15"/>
        <v>1481.7915384615383</v>
      </c>
      <c r="N148" s="24">
        <f t="shared" si="15"/>
        <v>50406.353461538463</v>
      </c>
      <c r="P148" s="309"/>
    </row>
    <row r="149" spans="1:16" s="29" customFormat="1" ht="4.5" customHeight="1" thickTop="1">
      <c r="B149" s="379"/>
      <c r="P149" s="4"/>
    </row>
    <row r="150" spans="1:16" ht="6.95" customHeight="1">
      <c r="A150" s="4"/>
      <c r="B150" s="383"/>
      <c r="C150" s="4"/>
      <c r="D150" s="4"/>
      <c r="E150" s="4"/>
      <c r="F150" s="3"/>
      <c r="G150" s="3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9.9499999999999993" customHeight="1">
      <c r="K151" s="188"/>
      <c r="P151" s="4"/>
    </row>
    <row r="152" spans="1:16" ht="6.95" customHeight="1" thickBot="1">
      <c r="A152" s="4"/>
      <c r="B152" s="383"/>
      <c r="C152" s="4"/>
      <c r="D152" s="4"/>
      <c r="E152" s="4"/>
      <c r="F152" s="3"/>
      <c r="G152" s="3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24.95" customHeight="1" thickTop="1" thickBot="1">
      <c r="B153" s="475" t="s">
        <v>406</v>
      </c>
      <c r="E153" s="80"/>
      <c r="F153" s="475" t="s">
        <v>292</v>
      </c>
      <c r="G153" s="55"/>
      <c r="H153" s="56"/>
      <c r="I153" s="56"/>
      <c r="J153" s="56"/>
      <c r="K153" s="475" t="s">
        <v>293</v>
      </c>
      <c r="L153" s="56"/>
      <c r="M153" s="56"/>
      <c r="P153" s="4"/>
    </row>
    <row r="154" spans="1:16" s="29" customFormat="1" ht="17.25" customHeight="1" thickTop="1" thickBot="1">
      <c r="B154" s="379"/>
      <c r="C154" s="305" t="s">
        <v>9</v>
      </c>
      <c r="D154" s="101"/>
      <c r="E154" s="439"/>
      <c r="F154" s="55"/>
      <c r="G154" s="55"/>
      <c r="H154" s="56"/>
      <c r="I154" s="56"/>
      <c r="J154" s="56"/>
      <c r="K154" s="56"/>
      <c r="L154" s="56"/>
      <c r="M154" s="56"/>
      <c r="P154" s="4"/>
    </row>
    <row r="155" spans="1:16" ht="16.5" thickTop="1">
      <c r="C155" s="440" t="s">
        <v>364</v>
      </c>
      <c r="D155" s="441">
        <v>239264.69</v>
      </c>
      <c r="E155" s="439"/>
      <c r="F155" s="55"/>
      <c r="G155" s="55"/>
      <c r="H155" s="56"/>
      <c r="I155" s="56"/>
      <c r="J155" s="56"/>
      <c r="K155" s="56"/>
      <c r="L155" s="56"/>
      <c r="M155" s="56"/>
      <c r="P155" s="4"/>
    </row>
    <row r="156" spans="1:16">
      <c r="C156" s="442" t="s">
        <v>365</v>
      </c>
      <c r="D156" s="443"/>
      <c r="E156" s="439"/>
      <c r="F156" s="55"/>
      <c r="G156" s="55"/>
      <c r="H156" s="56"/>
      <c r="I156" s="56"/>
      <c r="J156" s="56"/>
      <c r="K156" s="56"/>
      <c r="L156" s="56"/>
      <c r="M156" s="56"/>
      <c r="P156" s="4"/>
    </row>
    <row r="157" spans="1:16">
      <c r="C157" s="444" t="s">
        <v>366</v>
      </c>
      <c r="D157" s="443">
        <v>-10000</v>
      </c>
      <c r="E157" s="439"/>
      <c r="F157" s="55"/>
      <c r="G157" s="55"/>
      <c r="H157" s="56"/>
      <c r="I157" s="56"/>
      <c r="J157" s="56"/>
      <c r="K157" s="56"/>
      <c r="L157" s="56"/>
      <c r="M157" s="56"/>
      <c r="P157" s="4"/>
    </row>
    <row r="158" spans="1:16">
      <c r="C158" s="307" t="s">
        <v>367</v>
      </c>
      <c r="D158" s="445">
        <v>-40000</v>
      </c>
      <c r="E158" s="439"/>
      <c r="F158" s="55"/>
      <c r="G158" s="55"/>
      <c r="H158" s="56"/>
      <c r="I158" s="56"/>
      <c r="J158" s="56"/>
      <c r="K158" s="56"/>
      <c r="L158" s="56"/>
      <c r="M158" s="56"/>
      <c r="P158" s="4"/>
    </row>
    <row r="159" spans="1:16">
      <c r="C159" s="307" t="s">
        <v>368</v>
      </c>
      <c r="D159" s="445">
        <v>-86167.53</v>
      </c>
      <c r="E159" s="439"/>
      <c r="F159" s="55"/>
      <c r="G159" s="55"/>
      <c r="H159" s="56"/>
      <c r="I159" s="56"/>
      <c r="J159" s="56"/>
      <c r="K159" s="56"/>
      <c r="L159" s="56"/>
      <c r="M159" s="56"/>
      <c r="P159" s="4"/>
    </row>
    <row r="160" spans="1:16" ht="16.5" thickBot="1">
      <c r="C160" s="446" t="s">
        <v>369</v>
      </c>
      <c r="D160" s="447">
        <v>-1919.69</v>
      </c>
      <c r="E160" s="439"/>
      <c r="F160" s="55"/>
      <c r="G160" s="55"/>
      <c r="H160" s="56"/>
      <c r="I160" s="56"/>
      <c r="J160" s="56"/>
      <c r="K160" s="56"/>
      <c r="L160" s="56"/>
      <c r="M160" s="56"/>
      <c r="P160" s="4"/>
    </row>
    <row r="161" spans="1:16" ht="17.25" thickTop="1" thickBot="1">
      <c r="C161" s="448" t="s">
        <v>370</v>
      </c>
      <c r="D161" s="449">
        <f>SUM(D157:D160)</f>
        <v>-138087.22</v>
      </c>
      <c r="E161" s="439"/>
      <c r="F161" s="55"/>
      <c r="G161" s="55"/>
      <c r="H161" s="56"/>
      <c r="I161" s="56"/>
      <c r="J161" s="56"/>
      <c r="K161" s="56"/>
      <c r="L161" s="56"/>
      <c r="M161" s="56"/>
      <c r="P161" s="4"/>
    </row>
    <row r="162" spans="1:16" ht="7.5" customHeight="1" thickTop="1" thickBot="1">
      <c r="C162" s="439" t="s">
        <v>371</v>
      </c>
      <c r="D162" s="456"/>
      <c r="E162" s="439"/>
      <c r="F162" s="72"/>
      <c r="G162" s="72"/>
      <c r="H162" s="56"/>
      <c r="I162" s="56"/>
      <c r="J162" s="56"/>
      <c r="K162" s="56"/>
      <c r="L162" s="56"/>
      <c r="M162" s="56"/>
      <c r="P162" s="4"/>
    </row>
    <row r="163" spans="1:16" ht="17.25" thickTop="1" thickBot="1">
      <c r="B163" s="475" t="s">
        <v>405</v>
      </c>
      <c r="C163" s="448" t="s">
        <v>426</v>
      </c>
      <c r="D163" s="449">
        <f>D155+D161</f>
        <v>101177.47</v>
      </c>
      <c r="E163" s="439"/>
      <c r="F163" s="72"/>
      <c r="G163" s="72"/>
      <c r="H163" s="56"/>
      <c r="I163" s="56"/>
      <c r="J163" s="56"/>
      <c r="K163" s="56"/>
      <c r="L163" s="56"/>
      <c r="M163" s="56"/>
      <c r="P163" s="4"/>
    </row>
    <row r="164" spans="1:16" ht="17.25" thickTop="1" thickBot="1">
      <c r="C164" s="318" t="s">
        <v>371</v>
      </c>
      <c r="D164" s="450" t="s">
        <v>442</v>
      </c>
      <c r="E164" s="451" t="s">
        <v>444</v>
      </c>
      <c r="F164" s="72"/>
      <c r="G164" s="72"/>
      <c r="H164" s="56"/>
      <c r="I164" s="56"/>
      <c r="J164" s="56"/>
      <c r="K164" s="56"/>
      <c r="L164" s="56"/>
      <c r="M164" s="56"/>
      <c r="P164" s="4"/>
    </row>
    <row r="165" spans="1:16" ht="31.5" thickTop="1" thickBot="1">
      <c r="C165" s="452" t="s">
        <v>372</v>
      </c>
      <c r="D165" s="453">
        <f>+D163*61.9%</f>
        <v>62628.853929999997</v>
      </c>
      <c r="E165" s="453">
        <f>+D163*38.1%</f>
        <v>38548.616070000004</v>
      </c>
      <c r="F165" s="72"/>
      <c r="G165" s="72"/>
      <c r="H165" s="56"/>
      <c r="I165" s="56"/>
      <c r="J165" s="56"/>
      <c r="K165" s="56"/>
      <c r="L165" s="56"/>
      <c r="M165" s="56"/>
      <c r="P165" s="4"/>
    </row>
    <row r="166" spans="1:16" ht="17.25" customHeight="1" thickTop="1" thickBot="1">
      <c r="C166" s="402" t="s">
        <v>373</v>
      </c>
      <c r="D166" s="454">
        <v>36825.61</v>
      </c>
      <c r="E166" s="454">
        <v>22661.68</v>
      </c>
      <c r="F166" s="72"/>
      <c r="G166" s="72"/>
      <c r="H166" s="56"/>
      <c r="I166" s="56"/>
      <c r="J166" s="56"/>
      <c r="K166" s="56"/>
      <c r="L166" s="56"/>
      <c r="M166" s="56"/>
      <c r="P166" s="4"/>
    </row>
    <row r="167" spans="1:16" ht="17.25" customHeight="1" thickTop="1" thickBot="1">
      <c r="C167" s="402" t="s">
        <v>374</v>
      </c>
      <c r="D167" s="454">
        <f>+D166*7</f>
        <v>257779.27000000002</v>
      </c>
      <c r="E167" s="454">
        <f>+E166*7</f>
        <v>158631.76</v>
      </c>
      <c r="P167" s="4"/>
    </row>
    <row r="168" spans="1:16" s="29" customFormat="1" ht="17.25" customHeight="1" thickTop="1" thickBot="1">
      <c r="B168" s="379"/>
      <c r="C168" s="402" t="s">
        <v>375</v>
      </c>
      <c r="D168" s="454">
        <v>4054677.16</v>
      </c>
      <c r="E168" s="454">
        <v>5507727.0999999996</v>
      </c>
      <c r="F168" s="188"/>
      <c r="G168" s="188"/>
      <c r="P168" s="4"/>
    </row>
    <row r="169" spans="1:16" s="29" customFormat="1" ht="6.95" customHeight="1" thickTop="1" thickBot="1">
      <c r="B169" s="379"/>
      <c r="C169" s="306"/>
      <c r="D169" s="306"/>
      <c r="E169" s="306"/>
      <c r="F169" s="188"/>
      <c r="G169" s="188"/>
      <c r="P169" s="4"/>
    </row>
    <row r="170" spans="1:16" s="29" customFormat="1" ht="17.25" thickTop="1" thickBot="1">
      <c r="B170" s="475" t="s">
        <v>407</v>
      </c>
      <c r="C170" s="614" t="s">
        <v>401</v>
      </c>
      <c r="D170" s="615"/>
      <c r="E170" s="616"/>
      <c r="F170" s="481" t="s">
        <v>439</v>
      </c>
      <c r="G170" s="188"/>
      <c r="P170" s="4"/>
    </row>
    <row r="171" spans="1:16" s="29" customFormat="1" ht="17.25" thickTop="1" thickBot="1">
      <c r="B171" s="379"/>
      <c r="C171" s="318" t="s">
        <v>363</v>
      </c>
      <c r="D171" s="450" t="s">
        <v>442</v>
      </c>
      <c r="E171" s="451" t="s">
        <v>444</v>
      </c>
      <c r="F171" s="188"/>
      <c r="G171" s="188"/>
      <c r="P171" s="4"/>
    </row>
    <row r="172" spans="1:16" s="29" customFormat="1" ht="17.25" customHeight="1" thickTop="1" thickBot="1">
      <c r="B172" s="379"/>
      <c r="C172" s="403" t="s">
        <v>430</v>
      </c>
      <c r="D172" s="455">
        <v>0</v>
      </c>
      <c r="E172" s="455">
        <v>0</v>
      </c>
      <c r="F172" s="188"/>
      <c r="P172" s="4"/>
    </row>
    <row r="173" spans="1:16" s="29" customFormat="1" ht="17.25" customHeight="1" thickTop="1" thickBot="1">
      <c r="B173" s="379"/>
      <c r="C173" s="402" t="s">
        <v>427</v>
      </c>
      <c r="D173" s="454">
        <f>+D172*7</f>
        <v>0</v>
      </c>
      <c r="E173" s="454">
        <f>+E172*7</f>
        <v>0</v>
      </c>
      <c r="F173" s="188"/>
      <c r="P173" s="4"/>
    </row>
    <row r="174" spans="1:16" s="29" customFormat="1" ht="17.25" customHeight="1" thickTop="1" thickBot="1">
      <c r="B174" s="379"/>
      <c r="C174" s="402" t="s">
        <v>431</v>
      </c>
      <c r="D174" s="454">
        <v>275143</v>
      </c>
      <c r="E174" s="454">
        <v>2751429</v>
      </c>
      <c r="F174" s="188"/>
      <c r="P174" s="4"/>
    </row>
    <row r="175" spans="1:16" s="29" customFormat="1" ht="9" customHeight="1" thickTop="1">
      <c r="F175" s="188"/>
      <c r="P175" s="4"/>
    </row>
    <row r="176" spans="1:16" ht="6.95" customHeight="1">
      <c r="A176" s="4"/>
      <c r="B176" s="4"/>
      <c r="C176" s="4"/>
      <c r="D176" s="4"/>
      <c r="E176" s="4"/>
      <c r="F176" s="3"/>
      <c r="G176" s="3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9.9499999999999993" customHeight="1" thickBot="1">
      <c r="P177" s="4"/>
    </row>
    <row r="178" spans="1:16" ht="17.25" thickTop="1" thickBot="1">
      <c r="B178" s="475" t="s">
        <v>408</v>
      </c>
      <c r="C178" s="605" t="s">
        <v>143</v>
      </c>
      <c r="D178" s="606"/>
      <c r="E178" s="607"/>
      <c r="P178" s="4"/>
    </row>
    <row r="179" spans="1:16" ht="16.5" thickTop="1">
      <c r="C179" s="608" t="s">
        <v>376</v>
      </c>
      <c r="D179" s="609"/>
      <c r="E179" s="76" t="s">
        <v>445</v>
      </c>
      <c r="H179" s="392"/>
      <c r="I179" s="29"/>
      <c r="J179" s="29"/>
      <c r="K179" s="29"/>
      <c r="L179" s="29"/>
      <c r="M179" s="29"/>
      <c r="P179" s="4"/>
    </row>
    <row r="180" spans="1:16">
      <c r="C180" s="610" t="s">
        <v>377</v>
      </c>
      <c r="D180" s="611"/>
      <c r="E180" s="77" t="s">
        <v>446</v>
      </c>
      <c r="H180" s="392"/>
      <c r="I180" s="29"/>
      <c r="J180" s="29"/>
      <c r="K180" s="29"/>
      <c r="L180" s="29"/>
      <c r="M180" s="29"/>
      <c r="P180" s="4"/>
    </row>
    <row r="181" spans="1:16" ht="16.5" thickBot="1">
      <c r="C181" s="603" t="s">
        <v>378</v>
      </c>
      <c r="D181" s="604"/>
      <c r="E181" s="78" t="s">
        <v>57</v>
      </c>
      <c r="G181" s="29"/>
      <c r="H181" s="29"/>
      <c r="I181" s="29"/>
      <c r="J181" s="29"/>
      <c r="K181" s="29"/>
      <c r="L181" s="29"/>
      <c r="M181" s="29"/>
      <c r="P181" s="4"/>
    </row>
    <row r="182" spans="1:16" ht="16.5" thickTop="1">
      <c r="C182" s="638" t="s">
        <v>379</v>
      </c>
      <c r="D182" s="639"/>
      <c r="E182" s="79">
        <v>21480000</v>
      </c>
      <c r="P182" s="4"/>
    </row>
    <row r="183" spans="1:16">
      <c r="C183" s="640" t="s">
        <v>380</v>
      </c>
      <c r="D183" s="641"/>
      <c r="E183" s="74">
        <f>+'Trend Dashboard'!AC168</f>
        <v>68067.73</v>
      </c>
      <c r="P183" s="4"/>
    </row>
    <row r="184" spans="1:16" ht="15.75" customHeight="1">
      <c r="C184" s="640" t="s">
        <v>381</v>
      </c>
      <c r="D184" s="641"/>
      <c r="E184" s="74">
        <v>465495.45</v>
      </c>
      <c r="P184" s="4"/>
    </row>
    <row r="185" spans="1:16">
      <c r="C185" s="640" t="s">
        <v>382</v>
      </c>
      <c r="D185" s="641"/>
      <c r="E185" s="75">
        <f>+'Key Dashboards-July 2017'!D141/'Key Dashboards-July 2017'!D143</f>
        <v>2.0712876718527267</v>
      </c>
      <c r="P185" s="4"/>
    </row>
    <row r="186" spans="1:16">
      <c r="C186" s="640" t="s">
        <v>383</v>
      </c>
      <c r="D186" s="641"/>
      <c r="E186" s="74">
        <f>+D155</f>
        <v>239264.69</v>
      </c>
      <c r="P186" s="4"/>
    </row>
    <row r="187" spans="1:16" s="29" customFormat="1">
      <c r="B187" s="379"/>
      <c r="C187" s="640" t="s">
        <v>384</v>
      </c>
      <c r="D187" s="641"/>
      <c r="E187" s="487">
        <f>+'Raw Data'!I51</f>
        <v>8.06200502793296E-2</v>
      </c>
      <c r="F187" s="188"/>
      <c r="G187" s="188"/>
      <c r="P187" s="4"/>
    </row>
    <row r="188" spans="1:16" s="29" customFormat="1" ht="16.5" thickBot="1">
      <c r="B188" s="379"/>
      <c r="C188" s="636" t="s">
        <v>385</v>
      </c>
      <c r="D188" s="637"/>
      <c r="E188" s="486">
        <f>+'Raw Data'!I53</f>
        <v>0.49615449086684216</v>
      </c>
      <c r="F188" s="188"/>
      <c r="G188" s="188"/>
      <c r="P188" s="4"/>
    </row>
    <row r="189" spans="1:16" s="29" customFormat="1" ht="16.5" thickTop="1">
      <c r="B189" s="379"/>
      <c r="C189" s="188"/>
      <c r="D189" s="188"/>
      <c r="E189" s="188"/>
      <c r="F189" s="188"/>
      <c r="G189" s="188"/>
      <c r="P189" s="4"/>
    </row>
    <row r="190" spans="1:16" s="29" customFormat="1" ht="6.95" customHeight="1">
      <c r="A190" s="4"/>
      <c r="B190" s="383"/>
      <c r="C190" s="4"/>
      <c r="D190" s="4"/>
      <c r="E190" s="4"/>
      <c r="F190" s="3"/>
      <c r="G190" s="3"/>
      <c r="H190" s="4"/>
      <c r="I190" s="4"/>
      <c r="J190" s="4"/>
      <c r="K190" s="4"/>
      <c r="L190" s="4"/>
      <c r="M190" s="4"/>
      <c r="N190" s="4"/>
      <c r="O190" s="4"/>
      <c r="P190" s="4"/>
    </row>
  </sheetData>
  <sheetProtection algorithmName="SHA-512" hashValue="KQJfibGhVKYNONopWKAmMVqcNI7oL9WY4+oObsQA4QtO/GSjZQm20XvZnmvojAMeBQ6IbMHCbGF1s0MRc4dNuA==" saltValue="RGLfdZ5k3Vmwf/ncQlaf9g==" spinCount="100000" sheet="1" objects="1" scenarios="1"/>
  <mergeCells count="73">
    <mergeCell ref="B119:B120"/>
    <mergeCell ref="H31:I31"/>
    <mergeCell ref="K9:O11"/>
    <mergeCell ref="H25:I25"/>
    <mergeCell ref="H24:I24"/>
    <mergeCell ref="H26:I26"/>
    <mergeCell ref="H27:I27"/>
    <mergeCell ref="H28:I28"/>
    <mergeCell ref="H29:I29"/>
    <mergeCell ref="H30:I30"/>
    <mergeCell ref="L31:M31"/>
    <mergeCell ref="L26:M26"/>
    <mergeCell ref="L29:M29"/>
    <mergeCell ref="L30:M30"/>
    <mergeCell ref="L33:M33"/>
    <mergeCell ref="L24:M24"/>
    <mergeCell ref="C188:D188"/>
    <mergeCell ref="C182:D182"/>
    <mergeCell ref="C183:D183"/>
    <mergeCell ref="C184:D184"/>
    <mergeCell ref="C185:D185"/>
    <mergeCell ref="C186:D186"/>
    <mergeCell ref="C187:D187"/>
    <mergeCell ref="C2:O2"/>
    <mergeCell ref="C1:O1"/>
    <mergeCell ref="H22:K22"/>
    <mergeCell ref="C4:E5"/>
    <mergeCell ref="C6:E10"/>
    <mergeCell ref="C11:E12"/>
    <mergeCell ref="C3:E3"/>
    <mergeCell ref="F3:J3"/>
    <mergeCell ref="K3:O3"/>
    <mergeCell ref="F4:J5"/>
    <mergeCell ref="K4:O5"/>
    <mergeCell ref="K6:O8"/>
    <mergeCell ref="F11:J11"/>
    <mergeCell ref="F9:J10"/>
    <mergeCell ref="F6:J8"/>
    <mergeCell ref="C16:E17"/>
    <mergeCell ref="C181:D181"/>
    <mergeCell ref="C178:E178"/>
    <mergeCell ref="C179:D179"/>
    <mergeCell ref="C180:D180"/>
    <mergeCell ref="C121:C122"/>
    <mergeCell ref="C170:E170"/>
    <mergeCell ref="D121:D122"/>
    <mergeCell ref="E121:E122"/>
    <mergeCell ref="L36:M36"/>
    <mergeCell ref="L38:M38"/>
    <mergeCell ref="L39:M39"/>
    <mergeCell ref="L37:M37"/>
    <mergeCell ref="I121:K121"/>
    <mergeCell ref="L121:N121"/>
    <mergeCell ref="C119:N119"/>
    <mergeCell ref="C120:N120"/>
    <mergeCell ref="F121:F122"/>
    <mergeCell ref="G121:G122"/>
    <mergeCell ref="H121:H122"/>
    <mergeCell ref="C13:E14"/>
    <mergeCell ref="F13:J14"/>
    <mergeCell ref="L34:M34"/>
    <mergeCell ref="L35:M35"/>
    <mergeCell ref="L25:M25"/>
    <mergeCell ref="L27:M27"/>
    <mergeCell ref="L28:M28"/>
    <mergeCell ref="L32:M32"/>
    <mergeCell ref="H35:I35"/>
    <mergeCell ref="K14:O16"/>
    <mergeCell ref="K12:O12"/>
    <mergeCell ref="H32:I32"/>
    <mergeCell ref="H33:I33"/>
    <mergeCell ref="H34:I34"/>
    <mergeCell ref="F16:J17"/>
  </mergeCells>
  <conditionalFormatting sqref="D126:E129 D139:E141 H153:H154 D165:D166 D155:E161 E153:E154 D163:E163 D20:K20 D152:K152 D61:K86 F178:K178 E182:K186 G41:M60 F167:K167 D150:J151 D21:F34 D87:G87 I87:K87 D88:K114 D142:D146 E179:H180 D117:K118 D169:K169 E181:F181 F189:K189 D40:E40 N40:O40 N23:O23 O38 N27:O28 O34:O35 O29 D147:E148 G147:G148 G123:G141 I122:N122 G121:I121 D121:E121 H123:N148 G170:K171 H172:K175 F172:F175 D190:K1048576 J23:J31 J34 D176:K177">
    <cfRule type="cellIs" dxfId="177" priority="113" operator="lessThan">
      <formula>0</formula>
    </cfRule>
  </conditionalFormatting>
  <conditionalFormatting sqref="D123">
    <cfRule type="cellIs" dxfId="176" priority="106" operator="lessThan">
      <formula>0</formula>
    </cfRule>
  </conditionalFormatting>
  <conditionalFormatting sqref="E123">
    <cfRule type="cellIs" dxfId="175" priority="104" operator="lessThan">
      <formula>0</formula>
    </cfRule>
  </conditionalFormatting>
  <conditionalFormatting sqref="D130:D138">
    <cfRule type="cellIs" dxfId="174" priority="102" operator="lessThan">
      <formula>0</formula>
    </cfRule>
  </conditionalFormatting>
  <conditionalFormatting sqref="E130:E138">
    <cfRule type="cellIs" dxfId="173" priority="101" operator="lessThan">
      <formula>0</formula>
    </cfRule>
  </conditionalFormatting>
  <conditionalFormatting sqref="E165:E166">
    <cfRule type="cellIs" dxfId="172" priority="94" operator="lessThan">
      <formula>0</formula>
    </cfRule>
  </conditionalFormatting>
  <conditionalFormatting sqref="E182:E186">
    <cfRule type="cellIs" dxfId="171" priority="93" operator="lessThan">
      <formula>0</formula>
    </cfRule>
  </conditionalFormatting>
  <conditionalFormatting sqref="D164:E164">
    <cfRule type="cellIs" dxfId="170" priority="91" operator="lessThan">
      <formula>0</formula>
    </cfRule>
  </conditionalFormatting>
  <conditionalFormatting sqref="E167">
    <cfRule type="cellIs" dxfId="169" priority="89" operator="lessThan">
      <formula>0</formula>
    </cfRule>
  </conditionalFormatting>
  <conditionalFormatting sqref="D167">
    <cfRule type="cellIs" dxfId="168" priority="90" operator="lessThan">
      <formula>0</formula>
    </cfRule>
  </conditionalFormatting>
  <conditionalFormatting sqref="D178:E178">
    <cfRule type="cellIs" dxfId="167" priority="88" operator="lessThan">
      <formula>0</formula>
    </cfRule>
  </conditionalFormatting>
  <conditionalFormatting sqref="D124:D125">
    <cfRule type="cellIs" dxfId="166" priority="69" operator="lessThan">
      <formula>0</formula>
    </cfRule>
  </conditionalFormatting>
  <conditionalFormatting sqref="L121">
    <cfRule type="cellIs" dxfId="165" priority="68" operator="lessThan">
      <formula>0</formula>
    </cfRule>
  </conditionalFormatting>
  <conditionalFormatting sqref="E124:E125">
    <cfRule type="cellIs" dxfId="164" priority="65" operator="lessThan">
      <formula>0</formula>
    </cfRule>
  </conditionalFormatting>
  <conditionalFormatting sqref="E142:E146">
    <cfRule type="cellIs" dxfId="163" priority="63" operator="lessThan">
      <formula>0</formula>
    </cfRule>
  </conditionalFormatting>
  <conditionalFormatting sqref="G142:G146">
    <cfRule type="cellIs" dxfId="162" priority="62" operator="lessThan">
      <formula>0</formula>
    </cfRule>
  </conditionalFormatting>
  <conditionalFormatting sqref="I179:M181">
    <cfRule type="cellIs" dxfId="161" priority="61" operator="lessThan">
      <formula>0</formula>
    </cfRule>
  </conditionalFormatting>
  <conditionalFormatting sqref="K23:K27">
    <cfRule type="cellIs" dxfId="160" priority="60" operator="lessThan">
      <formula>0</formula>
    </cfRule>
  </conditionalFormatting>
  <conditionalFormatting sqref="K27">
    <cfRule type="cellIs" dxfId="159" priority="59" operator="lessThan">
      <formula>0</formula>
    </cfRule>
  </conditionalFormatting>
  <conditionalFormatting sqref="K28">
    <cfRule type="cellIs" dxfId="158" priority="58" operator="lessThan">
      <formula>0</formula>
    </cfRule>
  </conditionalFormatting>
  <conditionalFormatting sqref="F168:K168">
    <cfRule type="cellIs" dxfId="157" priority="54" operator="lessThan">
      <formula>0</formula>
    </cfRule>
  </conditionalFormatting>
  <conditionalFormatting sqref="K29">
    <cfRule type="cellIs" dxfId="156" priority="57" operator="lessThan">
      <formula>0</formula>
    </cfRule>
  </conditionalFormatting>
  <conditionalFormatting sqref="K30">
    <cfRule type="cellIs" dxfId="155" priority="56" operator="lessThan">
      <formula>0</formula>
    </cfRule>
  </conditionalFormatting>
  <conditionalFormatting sqref="E168">
    <cfRule type="cellIs" dxfId="154" priority="52" operator="lessThan">
      <formula>0</formula>
    </cfRule>
  </conditionalFormatting>
  <conditionalFormatting sqref="K31">
    <cfRule type="cellIs" dxfId="153" priority="51" operator="lessThan">
      <formula>0</formula>
    </cfRule>
  </conditionalFormatting>
  <conditionalFormatting sqref="D168">
    <cfRule type="cellIs" dxfId="152" priority="53" operator="lessThan">
      <formula>0</formula>
    </cfRule>
  </conditionalFormatting>
  <conditionalFormatting sqref="O39">
    <cfRule type="cellIs" dxfId="151" priority="43" operator="lessThan">
      <formula>0</formula>
    </cfRule>
  </conditionalFormatting>
  <conditionalFormatting sqref="K28">
    <cfRule type="cellIs" dxfId="150" priority="50" operator="lessThan">
      <formula>0</formula>
    </cfRule>
  </conditionalFormatting>
  <conditionalFormatting sqref="K29">
    <cfRule type="cellIs" dxfId="149" priority="49" operator="lessThan">
      <formula>0</formula>
    </cfRule>
  </conditionalFormatting>
  <conditionalFormatting sqref="K30">
    <cfRule type="cellIs" dxfId="148" priority="48" operator="lessThan">
      <formula>0</formula>
    </cfRule>
  </conditionalFormatting>
  <conditionalFormatting sqref="K31">
    <cfRule type="cellIs" dxfId="147" priority="47" operator="lessThan">
      <formula>0</formula>
    </cfRule>
  </conditionalFormatting>
  <conditionalFormatting sqref="E187:K188">
    <cfRule type="cellIs" dxfId="146" priority="40" operator="lessThan">
      <formula>0</formula>
    </cfRule>
  </conditionalFormatting>
  <conditionalFormatting sqref="N39">
    <cfRule type="cellIs" dxfId="145" priority="44" operator="lessThan">
      <formula>0</formula>
    </cfRule>
  </conditionalFormatting>
  <conditionalFormatting sqref="G181:H181">
    <cfRule type="cellIs" dxfId="144" priority="42" operator="lessThan">
      <formula>0</formula>
    </cfRule>
  </conditionalFormatting>
  <conditionalFormatting sqref="C189:E189">
    <cfRule type="cellIs" dxfId="143" priority="41" operator="lessThan">
      <formula>0</formula>
    </cfRule>
  </conditionalFormatting>
  <conditionalFormatting sqref="O36:O37">
    <cfRule type="cellIs" dxfId="142" priority="35" operator="lessThan">
      <formula>0</formula>
    </cfRule>
  </conditionalFormatting>
  <conditionalFormatting sqref="E187:E188">
    <cfRule type="cellIs" dxfId="141" priority="39" operator="lessThan">
      <formula>0</formula>
    </cfRule>
  </conditionalFormatting>
  <conditionalFormatting sqref="N24">
    <cfRule type="cellIs" dxfId="140" priority="38" operator="lessThan">
      <formula>0</formula>
    </cfRule>
  </conditionalFormatting>
  <conditionalFormatting sqref="O24">
    <cfRule type="cellIs" dxfId="139" priority="37" operator="lessThan">
      <formula>0</formula>
    </cfRule>
  </conditionalFormatting>
  <conditionalFormatting sqref="N26:O26">
    <cfRule type="cellIs" dxfId="138" priority="36" operator="lessThan">
      <formula>0</formula>
    </cfRule>
  </conditionalFormatting>
  <conditionalFormatting sqref="N34">
    <cfRule type="cellIs" dxfId="137" priority="27" operator="lessThan">
      <formula>0</formula>
    </cfRule>
  </conditionalFormatting>
  <conditionalFormatting sqref="O31:O32">
    <cfRule type="cellIs" dxfId="136" priority="33" operator="lessThan">
      <formula>0</formula>
    </cfRule>
  </conditionalFormatting>
  <conditionalFormatting sqref="O33">
    <cfRule type="cellIs" dxfId="135" priority="32" operator="lessThan">
      <formula>0</formula>
    </cfRule>
  </conditionalFormatting>
  <conditionalFormatting sqref="N25">
    <cfRule type="cellIs" dxfId="134" priority="31" operator="lessThan">
      <formula>0</formula>
    </cfRule>
  </conditionalFormatting>
  <conditionalFormatting sqref="N29">
    <cfRule type="cellIs" dxfId="133" priority="30" operator="lessThan">
      <formula>0</formula>
    </cfRule>
  </conditionalFormatting>
  <conditionalFormatting sqref="N31">
    <cfRule type="cellIs" dxfId="132" priority="29" operator="lessThan">
      <formula>0</formula>
    </cfRule>
  </conditionalFormatting>
  <conditionalFormatting sqref="N32">
    <cfRule type="cellIs" dxfId="131" priority="28" operator="lessThan">
      <formula>0</formula>
    </cfRule>
  </conditionalFormatting>
  <conditionalFormatting sqref="N38">
    <cfRule type="cellIs" dxfId="130" priority="23" operator="lessThan">
      <formula>0</formula>
    </cfRule>
  </conditionalFormatting>
  <conditionalFormatting sqref="N35">
    <cfRule type="cellIs" dxfId="129" priority="26" operator="lessThan">
      <formula>0</formula>
    </cfRule>
  </conditionalFormatting>
  <conditionalFormatting sqref="N33">
    <cfRule type="cellIs" dxfId="128" priority="25" operator="lessThan">
      <formula>0</formula>
    </cfRule>
  </conditionalFormatting>
  <conditionalFormatting sqref="N36:N37">
    <cfRule type="cellIs" dxfId="127" priority="24" operator="lessThan">
      <formula>0</formula>
    </cfRule>
  </conditionalFormatting>
  <conditionalFormatting sqref="O30">
    <cfRule type="cellIs" dxfId="126" priority="20" operator="lessThan">
      <formula>0</formula>
    </cfRule>
  </conditionalFormatting>
  <conditionalFormatting sqref="N30">
    <cfRule type="cellIs" dxfId="125" priority="21" operator="lessThan">
      <formula>0</formula>
    </cfRule>
  </conditionalFormatting>
  <conditionalFormatting sqref="H24">
    <cfRule type="cellIs" dxfId="124" priority="19" operator="lessThan">
      <formula>0</formula>
    </cfRule>
  </conditionalFormatting>
  <conditionalFormatting sqref="K35">
    <cfRule type="cellIs" dxfId="123" priority="14" operator="lessThan">
      <formula>0</formula>
    </cfRule>
  </conditionalFormatting>
  <conditionalFormatting sqref="K34">
    <cfRule type="cellIs" dxfId="122" priority="18" operator="lessThan">
      <formula>0</formula>
    </cfRule>
  </conditionalFormatting>
  <conditionalFormatting sqref="J35">
    <cfRule type="cellIs" dxfId="121" priority="17" operator="lessThan">
      <formula>0</formula>
    </cfRule>
  </conditionalFormatting>
  <conditionalFormatting sqref="E173">
    <cfRule type="cellIs" dxfId="120" priority="10" operator="lessThan">
      <formula>0</formula>
    </cfRule>
  </conditionalFormatting>
  <conditionalFormatting sqref="G172:G175">
    <cfRule type="cellIs" dxfId="119" priority="9" operator="lessThan">
      <formula>0</formula>
    </cfRule>
  </conditionalFormatting>
  <conditionalFormatting sqref="D172">
    <cfRule type="cellIs" dxfId="118" priority="13" operator="lessThan">
      <formula>0</formula>
    </cfRule>
  </conditionalFormatting>
  <conditionalFormatting sqref="E172">
    <cfRule type="cellIs" dxfId="117" priority="12" operator="lessThan">
      <formula>0</formula>
    </cfRule>
  </conditionalFormatting>
  <conditionalFormatting sqref="D173">
    <cfRule type="cellIs" dxfId="116" priority="11" operator="lessThan">
      <formula>0</formula>
    </cfRule>
  </conditionalFormatting>
  <conditionalFormatting sqref="F170:F171">
    <cfRule type="cellIs" dxfId="115" priority="8" operator="lessThan">
      <formula>0</formula>
    </cfRule>
  </conditionalFormatting>
  <conditionalFormatting sqref="D171:E171">
    <cfRule type="cellIs" dxfId="114" priority="7" operator="lessThan">
      <formula>0</formula>
    </cfRule>
  </conditionalFormatting>
  <conditionalFormatting sqref="E174">
    <cfRule type="cellIs" dxfId="113" priority="5" operator="lessThan">
      <formula>0</formula>
    </cfRule>
  </conditionalFormatting>
  <conditionalFormatting sqref="D174">
    <cfRule type="cellIs" dxfId="112" priority="6" operator="lessThan">
      <formula>0</formula>
    </cfRule>
  </conditionalFormatting>
  <conditionalFormatting sqref="J32">
    <cfRule type="cellIs" dxfId="111" priority="4" operator="lessThan">
      <formula>0</formula>
    </cfRule>
  </conditionalFormatting>
  <conditionalFormatting sqref="K32">
    <cfRule type="cellIs" dxfId="110" priority="3" operator="lessThan">
      <formula>0</formula>
    </cfRule>
  </conditionalFormatting>
  <conditionalFormatting sqref="K33">
    <cfRule type="cellIs" dxfId="109" priority="1" operator="lessThan">
      <formula>0</formula>
    </cfRule>
  </conditionalFormatting>
  <conditionalFormatting sqref="J33">
    <cfRule type="cellIs" dxfId="108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  <ignoredErrors>
    <ignoredError sqref="E185:E186 E18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0:N14"/>
  <sheetViews>
    <sheetView tabSelected="1" workbookViewId="0">
      <selection activeCell="C20" sqref="C20"/>
    </sheetView>
  </sheetViews>
  <sheetFormatPr defaultColWidth="12" defaultRowHeight="12.75"/>
  <cols>
    <col min="1" max="1" width="35.83203125" style="71" customWidth="1"/>
    <col min="2" max="2" width="33.1640625" style="71" customWidth="1"/>
    <col min="3" max="16384" width="12" style="71"/>
  </cols>
  <sheetData>
    <row r="10" spans="2:14" ht="13.5" thickBot="1"/>
    <row r="11" spans="2:14">
      <c r="B11" s="658" t="s">
        <v>133</v>
      </c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60"/>
    </row>
    <row r="12" spans="2:14">
      <c r="B12" s="661"/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3"/>
    </row>
    <row r="13" spans="2:14">
      <c r="B13" s="661"/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3"/>
    </row>
    <row r="14" spans="2:14" ht="13.5" thickBot="1">
      <c r="B14" s="664"/>
      <c r="C14" s="665"/>
      <c r="D14" s="665"/>
      <c r="E14" s="665"/>
      <c r="F14" s="665"/>
      <c r="G14" s="665"/>
      <c r="H14" s="665"/>
      <c r="I14" s="665"/>
      <c r="J14" s="665"/>
      <c r="K14" s="665"/>
      <c r="L14" s="665"/>
      <c r="M14" s="665"/>
      <c r="N14" s="666"/>
    </row>
  </sheetData>
  <sheetProtection algorithmName="SHA-512" hashValue="oA6vkp3R22RF+8QPoip/oXyYbYXmpehaLYxu4/yD8kkc/Qo6lezY0KgFXro+vhYDhuCRTjimW3r/zDQ7RIs9hw==" saltValue="FZU+/8un2J0JloUL1LVw+w==" spinCount="100000" sheet="1" objects="1" scenarios="1"/>
  <mergeCells count="1">
    <mergeCell ref="B11:N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showGridLines="0" topLeftCell="A183" workbookViewId="0">
      <selection activeCell="B68" sqref="B68"/>
    </sheetView>
  </sheetViews>
  <sheetFormatPr defaultColWidth="14.6640625" defaultRowHeight="12.75"/>
  <cols>
    <col min="1" max="1" width="1.6640625" style="67" customWidth="1"/>
    <col min="2" max="2" width="42.6640625" style="66" bestFit="1" customWidth="1"/>
    <col min="3" max="10" width="15" style="67" bestFit="1" customWidth="1"/>
    <col min="11" max="11" width="19.83203125" style="67" bestFit="1" customWidth="1"/>
    <col min="12" max="12" width="14.6640625" style="67"/>
    <col min="13" max="13" width="14" style="67" bestFit="1" customWidth="1"/>
    <col min="14" max="14" width="14.6640625" style="67"/>
    <col min="15" max="15" width="14.1640625" style="67" bestFit="1" customWidth="1"/>
    <col min="16" max="16" width="14.6640625" style="67"/>
    <col min="17" max="17" width="14.1640625" style="67" hidden="1" customWidth="1"/>
    <col min="18" max="18" width="0" style="67" hidden="1" customWidth="1"/>
    <col min="19" max="21" width="14.1640625" style="67" bestFit="1" customWidth="1"/>
    <col min="22" max="16384" width="14.6640625" style="67"/>
  </cols>
  <sheetData>
    <row r="1" spans="2:12" ht="13.5" thickBot="1"/>
    <row r="2" spans="2:12" ht="13.5" thickBot="1">
      <c r="C2" s="201" t="s">
        <v>44</v>
      </c>
      <c r="D2" s="201" t="s">
        <v>45</v>
      </c>
      <c r="E2" s="201" t="s">
        <v>46</v>
      </c>
      <c r="F2" s="201" t="s">
        <v>47</v>
      </c>
      <c r="G2" s="201" t="s">
        <v>48</v>
      </c>
      <c r="H2" s="201" t="s">
        <v>49</v>
      </c>
      <c r="I2" s="201" t="s">
        <v>50</v>
      </c>
      <c r="J2" s="201" t="s">
        <v>51</v>
      </c>
    </row>
    <row r="3" spans="2:12" ht="13.5" thickBot="1">
      <c r="B3" s="246" t="s">
        <v>223</v>
      </c>
      <c r="C3" s="247" t="s">
        <v>151</v>
      </c>
      <c r="D3" s="247" t="s">
        <v>151</v>
      </c>
      <c r="E3" s="247" t="s">
        <v>151</v>
      </c>
      <c r="F3" s="247" t="s">
        <v>151</v>
      </c>
      <c r="G3" s="247" t="s">
        <v>151</v>
      </c>
      <c r="H3" s="247" t="s">
        <v>151</v>
      </c>
      <c r="I3" s="247" t="s">
        <v>151</v>
      </c>
      <c r="J3" s="247" t="s">
        <v>151</v>
      </c>
    </row>
    <row r="4" spans="2:12" ht="13.5" thickTop="1">
      <c r="B4" s="187" t="s">
        <v>203</v>
      </c>
      <c r="C4" s="98">
        <f>+'Trend Dashboard'!E151</f>
        <v>11687.5</v>
      </c>
      <c r="D4" s="98">
        <f>+'Trend Dashboard'!I151</f>
        <v>11687.5</v>
      </c>
      <c r="E4" s="98">
        <f>+'Trend Dashboard'!M151</f>
        <v>11687.5</v>
      </c>
      <c r="F4" s="98">
        <f>+'Trend Dashboard'!Q151</f>
        <v>11687.5</v>
      </c>
      <c r="G4" s="98">
        <f>+'Trend Dashboard'!U151</f>
        <v>11687.5</v>
      </c>
      <c r="H4" s="98">
        <f>+'Trend Dashboard'!Y151</f>
        <v>11775</v>
      </c>
      <c r="I4" s="98">
        <f>+'Trend Dashboard'!AC151</f>
        <v>11875</v>
      </c>
      <c r="J4" s="98">
        <f>+'Trend Dashboard'!AG151</f>
        <v>11875</v>
      </c>
    </row>
    <row r="5" spans="2:12">
      <c r="B5" s="184" t="s">
        <v>144</v>
      </c>
      <c r="C5" s="98">
        <f>+'Trend Dashboard'!E152</f>
        <v>169607.54</v>
      </c>
      <c r="D5" s="98">
        <f>+'Trend Dashboard'!I152</f>
        <v>170882.84</v>
      </c>
      <c r="E5" s="98">
        <f>+'Trend Dashboard'!M152</f>
        <v>166748.79</v>
      </c>
      <c r="F5" s="98">
        <f>+'Trend Dashboard'!Q152</f>
        <v>152517.18</v>
      </c>
      <c r="G5" s="98">
        <f>+'Trend Dashboard'!U152</f>
        <v>171291.81</v>
      </c>
      <c r="H5" s="98">
        <f>+'Trend Dashboard'!Y152</f>
        <v>174280.94</v>
      </c>
      <c r="I5" s="98">
        <f>+'Trend Dashboard'!AC152</f>
        <v>172896.37</v>
      </c>
      <c r="J5" s="98">
        <f>+'Trend Dashboard'!AG152</f>
        <v>158435.38</v>
      </c>
      <c r="L5" s="67" t="s">
        <v>283</v>
      </c>
    </row>
    <row r="6" spans="2:12" ht="13.5" thickBot="1">
      <c r="B6" s="186" t="s">
        <v>145</v>
      </c>
      <c r="C6" s="98">
        <f>+'Trend Dashboard'!E153+'Trend Dashboard'!E154</f>
        <v>25901.55</v>
      </c>
      <c r="D6" s="98">
        <f>+'Trend Dashboard'!I153+'Trend Dashboard'!I154</f>
        <v>13890.369999999999</v>
      </c>
      <c r="E6" s="98">
        <f>+'Trend Dashboard'!M153+'Trend Dashboard'!M154</f>
        <v>15131.470000000001</v>
      </c>
      <c r="F6" s="98">
        <f>+'Trend Dashboard'!Q153+'Trend Dashboard'!Q154</f>
        <v>20748.66</v>
      </c>
      <c r="G6" s="98">
        <f>+'Trend Dashboard'!U153+'Trend Dashboard'!U154</f>
        <v>10622.75</v>
      </c>
      <c r="H6" s="98">
        <f>+'Trend Dashboard'!Y153+'Trend Dashboard'!Y154</f>
        <v>10754.26</v>
      </c>
      <c r="I6" s="98">
        <f>+'Trend Dashboard'!AC153+'Trend Dashboard'!AC154</f>
        <v>16529.47</v>
      </c>
      <c r="J6" s="98">
        <f>+'Trend Dashboard'!AG153+'Trend Dashboard'!AG154</f>
        <v>18467.900000000001</v>
      </c>
    </row>
    <row r="7" spans="2:12" ht="14.25" thickTop="1" thickBot="1">
      <c r="B7" s="70" t="s">
        <v>30</v>
      </c>
      <c r="C7" s="68">
        <f t="shared" ref="C7:J7" si="0">SUM(C4:C6)</f>
        <v>207196.59</v>
      </c>
      <c r="D7" s="68">
        <f t="shared" si="0"/>
        <v>196460.71</v>
      </c>
      <c r="E7" s="68">
        <f t="shared" si="0"/>
        <v>193567.76</v>
      </c>
      <c r="F7" s="68">
        <f t="shared" si="0"/>
        <v>184953.34</v>
      </c>
      <c r="G7" s="68">
        <f t="shared" si="0"/>
        <v>193602.06</v>
      </c>
      <c r="H7" s="68">
        <f t="shared" si="0"/>
        <v>196810.2</v>
      </c>
      <c r="I7" s="68">
        <f t="shared" si="0"/>
        <v>201300.84</v>
      </c>
      <c r="J7" s="68">
        <f t="shared" si="0"/>
        <v>188778.28</v>
      </c>
    </row>
    <row r="8" spans="2:12" ht="24" customHeight="1" thickTop="1" thickBot="1">
      <c r="B8" s="246" t="s">
        <v>147</v>
      </c>
      <c r="C8" s="90"/>
      <c r="D8" s="200"/>
      <c r="E8" s="200"/>
      <c r="F8" s="200"/>
      <c r="G8" s="200"/>
      <c r="H8" s="200"/>
      <c r="I8" s="200"/>
      <c r="J8" s="200"/>
      <c r="K8" s="91"/>
    </row>
    <row r="9" spans="2:12">
      <c r="B9" s="198" t="s">
        <v>204</v>
      </c>
      <c r="C9" s="98">
        <f>+'Trend Dashboard'!E157</f>
        <v>7116.9</v>
      </c>
      <c r="D9" s="98">
        <f>+'Trend Dashboard'!I157</f>
        <v>4977.78</v>
      </c>
      <c r="E9" s="98">
        <f>+'Trend Dashboard'!M157</f>
        <v>4994.24</v>
      </c>
      <c r="F9" s="98">
        <f>+'Trend Dashboard'!Q157</f>
        <v>6778.4599999999991</v>
      </c>
      <c r="G9" s="98">
        <f>+'Trend Dashboard'!U157</f>
        <v>4836.1499999999996</v>
      </c>
      <c r="H9" s="98">
        <f>+'Trend Dashboard'!Y157</f>
        <v>4422.33</v>
      </c>
      <c r="I9" s="98">
        <f>+'Trend Dashboard'!AC157</f>
        <v>5186.2700000000004</v>
      </c>
      <c r="J9" s="98">
        <f>+'Trend Dashboard'!AG157</f>
        <v>9295.2499999999982</v>
      </c>
      <c r="K9" s="91"/>
    </row>
    <row r="10" spans="2:12">
      <c r="B10" s="197" t="s">
        <v>205</v>
      </c>
      <c r="C10" s="98">
        <f>+'Trend Dashboard'!E158</f>
        <v>3183.52</v>
      </c>
      <c r="D10" s="98">
        <f>+'Trend Dashboard'!I158</f>
        <v>4862.74</v>
      </c>
      <c r="E10" s="98">
        <f>+'Trend Dashboard'!M158</f>
        <v>2765.71</v>
      </c>
      <c r="F10" s="98">
        <f>+'Trend Dashboard'!Q158</f>
        <v>2254.0700000000002</v>
      </c>
      <c r="G10" s="98">
        <f>+'Trend Dashboard'!U158</f>
        <v>8288.68</v>
      </c>
      <c r="H10" s="98">
        <f>+'Trend Dashboard'!Y158</f>
        <v>3266.48</v>
      </c>
      <c r="I10" s="98">
        <f>+'Trend Dashboard'!AC158</f>
        <v>5862.95</v>
      </c>
      <c r="J10" s="98">
        <f>+'Trend Dashboard'!AG158</f>
        <v>3921.91</v>
      </c>
      <c r="K10" s="91"/>
    </row>
    <row r="11" spans="2:12">
      <c r="B11" s="197" t="s">
        <v>206</v>
      </c>
      <c r="C11" s="98">
        <f>+'Trend Dashboard'!E159</f>
        <v>1604.61</v>
      </c>
      <c r="D11" s="98">
        <f>+'Trend Dashboard'!I159</f>
        <v>1290.3499999999999</v>
      </c>
      <c r="E11" s="98">
        <f>+'Trend Dashboard'!M159</f>
        <v>1235.6199999999999</v>
      </c>
      <c r="F11" s="98">
        <f>+'Trend Dashboard'!Q159</f>
        <v>1422.81</v>
      </c>
      <c r="G11" s="98">
        <f>+'Trend Dashboard'!U159</f>
        <v>3085.74</v>
      </c>
      <c r="H11" s="98">
        <f>+'Trend Dashboard'!Y159</f>
        <v>1088.5899999999999</v>
      </c>
      <c r="I11" s="98">
        <f>+'Trend Dashboard'!AC159</f>
        <v>6129.36</v>
      </c>
      <c r="J11" s="98">
        <f>+'Trend Dashboard'!AG159</f>
        <v>3053.86</v>
      </c>
      <c r="K11" s="91"/>
    </row>
    <row r="12" spans="2:12">
      <c r="B12" s="198" t="s">
        <v>213</v>
      </c>
      <c r="C12" s="98">
        <f>+'Trend Dashboard'!E160</f>
        <v>5682.73</v>
      </c>
      <c r="D12" s="98">
        <f>+'Trend Dashboard'!I160</f>
        <v>4945.6099999999997</v>
      </c>
      <c r="E12" s="98">
        <f>+'Trend Dashboard'!M160</f>
        <v>4219.8</v>
      </c>
      <c r="F12" s="98">
        <f>+'Trend Dashboard'!Q160</f>
        <v>4798.78</v>
      </c>
      <c r="G12" s="98">
        <f>+'Trend Dashboard'!U160</f>
        <v>4924.9799999999996</v>
      </c>
      <c r="H12" s="98">
        <f>+'Trend Dashboard'!Y160</f>
        <v>4708.0200000000004</v>
      </c>
      <c r="I12" s="98">
        <f>+'Trend Dashboard'!AC160</f>
        <v>5859.7</v>
      </c>
      <c r="J12" s="98">
        <f>+'Trend Dashboard'!AG160</f>
        <v>4325.05</v>
      </c>
    </row>
    <row r="13" spans="2:12">
      <c r="B13" s="197" t="s">
        <v>208</v>
      </c>
      <c r="C13" s="98">
        <f>+'Trend Dashboard'!E161</f>
        <v>1884.48</v>
      </c>
      <c r="D13" s="98">
        <f>+'Trend Dashboard'!I161</f>
        <v>1884.64</v>
      </c>
      <c r="E13" s="98">
        <f>+'Trend Dashboard'!M161</f>
        <v>1884.64</v>
      </c>
      <c r="F13" s="98">
        <f>+'Trend Dashboard'!Q161</f>
        <v>1884.64</v>
      </c>
      <c r="G13" s="98">
        <f>+'Trend Dashboard'!U161</f>
        <v>1884.53</v>
      </c>
      <c r="H13" s="98">
        <f>+'Trend Dashboard'!Y161</f>
        <v>1650.55</v>
      </c>
      <c r="I13" s="98">
        <f>+'Trend Dashboard'!AC161</f>
        <v>1650.55</v>
      </c>
      <c r="J13" s="98">
        <f>+'Trend Dashboard'!AG161</f>
        <v>1650.55</v>
      </c>
    </row>
    <row r="14" spans="2:12">
      <c r="B14" s="198" t="s">
        <v>209</v>
      </c>
      <c r="C14" s="98">
        <f>+'Trend Dashboard'!E162</f>
        <v>19432.64</v>
      </c>
      <c r="D14" s="98">
        <f>+'Trend Dashboard'!I162</f>
        <v>19432.64</v>
      </c>
      <c r="E14" s="98">
        <f>+'Trend Dashboard'!M162</f>
        <v>19432.64</v>
      </c>
      <c r="F14" s="98">
        <f>+'Trend Dashboard'!Q162</f>
        <v>19432.64</v>
      </c>
      <c r="G14" s="98">
        <f>+'Trend Dashboard'!U162</f>
        <v>19432.64</v>
      </c>
      <c r="H14" s="98">
        <f>+'Trend Dashboard'!Y162</f>
        <v>19432.63</v>
      </c>
      <c r="I14" s="98">
        <f>+'Trend Dashboard'!AC162</f>
        <v>19821.29</v>
      </c>
      <c r="J14" s="98">
        <f>+'Trend Dashboard'!AG162</f>
        <v>19821.29</v>
      </c>
    </row>
    <row r="15" spans="2:12">
      <c r="B15" s="197" t="s">
        <v>210</v>
      </c>
      <c r="C15" s="98">
        <f>+'Trend Dashboard'!E163</f>
        <v>1580.3</v>
      </c>
      <c r="D15" s="98">
        <f>+'Trend Dashboard'!I163</f>
        <v>1051.06</v>
      </c>
      <c r="E15" s="98">
        <f>+'Trend Dashboard'!M163</f>
        <v>1000.79</v>
      </c>
      <c r="F15" s="98">
        <f>+'Trend Dashboard'!Q163</f>
        <v>2926.5</v>
      </c>
      <c r="G15" s="98">
        <f>+'Trend Dashboard'!U163</f>
        <v>2538.56</v>
      </c>
      <c r="H15" s="98">
        <f>+'Trend Dashboard'!Y163</f>
        <v>1632.44</v>
      </c>
      <c r="I15" s="98">
        <f>+'Trend Dashboard'!AC163</f>
        <v>4685.46</v>
      </c>
      <c r="J15" s="98">
        <f>+'Trend Dashboard'!AG163</f>
        <v>384.04</v>
      </c>
    </row>
    <row r="16" spans="2:12">
      <c r="B16" s="197" t="s">
        <v>211</v>
      </c>
      <c r="C16" s="98">
        <f>+'Trend Dashboard'!E164</f>
        <v>317.52</v>
      </c>
      <c r="D16" s="98">
        <f>+'Trend Dashboard'!I164</f>
        <v>852.43</v>
      </c>
      <c r="E16" s="98">
        <f>+'Trend Dashboard'!M164</f>
        <v>1927.2399999999998</v>
      </c>
      <c r="F16" s="98">
        <f>+'Trend Dashboard'!Q164</f>
        <v>200.45</v>
      </c>
      <c r="G16" s="98">
        <f>+'Trend Dashboard'!U164</f>
        <v>471.59000000000003</v>
      </c>
      <c r="H16" s="98">
        <f>+'Trend Dashboard'!Y164</f>
        <v>485.66999999999996</v>
      </c>
      <c r="I16" s="98">
        <f>+'Trend Dashboard'!AC164</f>
        <v>258.65999999999997</v>
      </c>
      <c r="J16" s="98">
        <f>+'Trend Dashboard'!AG164</f>
        <v>109.92999999999999</v>
      </c>
    </row>
    <row r="17" spans="2:12" ht="13.5" thickBot="1">
      <c r="B17" s="199" t="s">
        <v>214</v>
      </c>
      <c r="C17" s="98">
        <f>+'Trend Dashboard'!E165</f>
        <v>12064.61</v>
      </c>
      <c r="D17" s="98">
        <f>+'Trend Dashboard'!I165</f>
        <v>10852.23</v>
      </c>
      <c r="E17" s="98">
        <f>+'Trend Dashboard'!M165</f>
        <v>10940</v>
      </c>
      <c r="F17" s="98">
        <f>+'Trend Dashboard'!Q165</f>
        <v>9628.5</v>
      </c>
      <c r="G17" s="98">
        <f>+'Trend Dashboard'!U165</f>
        <v>9872.5300000000007</v>
      </c>
      <c r="H17" s="98">
        <f>+'Trend Dashboard'!Y165</f>
        <v>10642.85</v>
      </c>
      <c r="I17" s="98">
        <f>+'Trend Dashboard'!AC165</f>
        <v>10858.75</v>
      </c>
      <c r="J17" s="98">
        <f>+'Trend Dashboard'!AG165</f>
        <v>9130.25</v>
      </c>
    </row>
    <row r="18" spans="2:12" ht="14.25" thickTop="1" thickBot="1">
      <c r="B18" s="69" t="s">
        <v>221</v>
      </c>
      <c r="C18" s="68">
        <f>SUM(C9:C17)</f>
        <v>52867.310000000005</v>
      </c>
      <c r="D18" s="68">
        <f t="shared" ref="D18:J18" si="1">SUM(D9:D17)</f>
        <v>50149.479999999996</v>
      </c>
      <c r="E18" s="68">
        <f t="shared" si="1"/>
        <v>48400.679999999993</v>
      </c>
      <c r="F18" s="68">
        <f t="shared" si="1"/>
        <v>49326.849999999991</v>
      </c>
      <c r="G18" s="68">
        <f t="shared" si="1"/>
        <v>55335.399999999994</v>
      </c>
      <c r="H18" s="68">
        <f t="shared" si="1"/>
        <v>47329.56</v>
      </c>
      <c r="I18" s="68">
        <f t="shared" si="1"/>
        <v>60312.990000000005</v>
      </c>
      <c r="J18" s="68">
        <f t="shared" si="1"/>
        <v>51692.130000000005</v>
      </c>
    </row>
    <row r="19" spans="2:12" ht="14.25" thickTop="1" thickBot="1">
      <c r="B19" s="69" t="s">
        <v>222</v>
      </c>
      <c r="C19" s="68">
        <f>+C7-C18</f>
        <v>154329.28</v>
      </c>
      <c r="D19" s="68">
        <f t="shared" ref="D19:J19" si="2">+D7-D18</f>
        <v>146311.22999999998</v>
      </c>
      <c r="E19" s="68">
        <f t="shared" si="2"/>
        <v>145167.08000000002</v>
      </c>
      <c r="F19" s="68">
        <f t="shared" si="2"/>
        <v>135626.49</v>
      </c>
      <c r="G19" s="68">
        <f t="shared" si="2"/>
        <v>138266.66</v>
      </c>
      <c r="H19" s="68">
        <f t="shared" si="2"/>
        <v>149480.64000000001</v>
      </c>
      <c r="I19" s="68">
        <f t="shared" si="2"/>
        <v>140987.84999999998</v>
      </c>
      <c r="J19" s="68">
        <f t="shared" si="2"/>
        <v>137086.15</v>
      </c>
    </row>
    <row r="20" spans="2:12" ht="14.25" thickTop="1" thickBot="1">
      <c r="B20" s="69" t="s">
        <v>220</v>
      </c>
      <c r="C20" s="98">
        <f>+'Trend Dashboard'!E168</f>
        <v>68067.73</v>
      </c>
      <c r="D20" s="98">
        <f>+'Trend Dashboard'!I168</f>
        <v>61480.53</v>
      </c>
      <c r="E20" s="98">
        <f>+'Trend Dashboard'!M168</f>
        <v>68067.73</v>
      </c>
      <c r="F20" s="98">
        <f>+'Trend Dashboard'!Q168</f>
        <v>65872</v>
      </c>
      <c r="G20" s="98">
        <f>+'Trend Dashboard'!U168</f>
        <v>68067.73</v>
      </c>
      <c r="H20" s="98">
        <f>+'Trend Dashboard'!Y168</f>
        <v>65872</v>
      </c>
      <c r="I20" s="98">
        <f>+'Trend Dashboard'!AC168</f>
        <v>68067.73</v>
      </c>
      <c r="J20" s="98">
        <f>+'Trend Dashboard'!AG168</f>
        <v>68067.73</v>
      </c>
    </row>
    <row r="21" spans="2:12" ht="14.25" thickTop="1" thickBot="1">
      <c r="B21" s="69" t="s">
        <v>149</v>
      </c>
      <c r="C21" s="68">
        <f>+'Trend Dashboard'!E170</f>
        <v>69629.05</v>
      </c>
      <c r="D21" s="68">
        <f>+'Trend Dashboard'!I170</f>
        <v>65150.04</v>
      </c>
      <c r="E21" s="68">
        <f>+'Trend Dashboard'!M170</f>
        <v>70166.23</v>
      </c>
      <c r="F21" s="68">
        <f>+'Trend Dashboard'!Q170</f>
        <v>68213.53</v>
      </c>
      <c r="G21" s="68">
        <f>+'Trend Dashboard'!U170</f>
        <v>69609.259999999995</v>
      </c>
      <c r="H21" s="68">
        <f>+'Trend Dashboard'!Y170</f>
        <v>80521.14</v>
      </c>
      <c r="I21" s="68">
        <f>+'Trend Dashboard'!AC170</f>
        <v>69609.259999999995</v>
      </c>
      <c r="J21" s="374">
        <f>+'Trend Dashboard'!AG170</f>
        <v>76117.48</v>
      </c>
      <c r="K21" s="377" t="s">
        <v>357</v>
      </c>
      <c r="L21" s="378">
        <v>21480000</v>
      </c>
    </row>
    <row r="22" spans="2:12" ht="14.25" thickTop="1" thickBot="1">
      <c r="B22" s="69" t="s">
        <v>134</v>
      </c>
      <c r="C22" s="68">
        <f>+C19-C21</f>
        <v>84700.23</v>
      </c>
      <c r="D22" s="68">
        <f t="shared" ref="D22:J22" si="3">+D19-D21</f>
        <v>81161.189999999973</v>
      </c>
      <c r="E22" s="68">
        <f t="shared" si="3"/>
        <v>75000.85000000002</v>
      </c>
      <c r="F22" s="68">
        <f t="shared" si="3"/>
        <v>67412.959999999992</v>
      </c>
      <c r="G22" s="68">
        <f t="shared" si="3"/>
        <v>68657.400000000009</v>
      </c>
      <c r="H22" s="68">
        <f t="shared" si="3"/>
        <v>68959.500000000015</v>
      </c>
      <c r="I22" s="68">
        <f t="shared" si="3"/>
        <v>71378.589999999982</v>
      </c>
      <c r="J22" s="374">
        <f t="shared" si="3"/>
        <v>60968.67</v>
      </c>
      <c r="K22" s="375" t="s">
        <v>359</v>
      </c>
      <c r="L22" s="376">
        <v>4</v>
      </c>
    </row>
    <row r="23" spans="2:12" ht="14.25" thickTop="1" thickBot="1">
      <c r="B23" s="67" t="s">
        <v>428</v>
      </c>
      <c r="C23" s="399">
        <f>+C19*12/1</f>
        <v>1851951.3599999999</v>
      </c>
      <c r="D23" s="399">
        <f>+D19*12/2</f>
        <v>877867.37999999989</v>
      </c>
      <c r="E23" s="399">
        <f>+E19*12/3</f>
        <v>580668.32000000007</v>
      </c>
      <c r="F23" s="399">
        <f>+F19*12/4</f>
        <v>406879.47</v>
      </c>
      <c r="G23" s="399">
        <f>+G19*12/5</f>
        <v>331839.984</v>
      </c>
      <c r="H23" s="399">
        <f>+H19*12/6</f>
        <v>298961.28000000003</v>
      </c>
      <c r="I23" s="399">
        <f>+I19*12/7</f>
        <v>241693.45714285711</v>
      </c>
      <c r="J23" s="399">
        <f>+J19*12/8</f>
        <v>205629.22499999998</v>
      </c>
    </row>
    <row r="24" spans="2:12" s="241" customFormat="1">
      <c r="B24" s="368" t="s">
        <v>356</v>
      </c>
      <c r="C24" s="369">
        <f>+C23/$L$21</f>
        <v>8.6217474860335194E-2</v>
      </c>
      <c r="D24" s="369">
        <f t="shared" ref="D24:J24" si="4">+D23/$L$21</f>
        <v>4.0869058659217875E-2</v>
      </c>
      <c r="E24" s="369">
        <f t="shared" si="4"/>
        <v>2.7032975791433895E-2</v>
      </c>
      <c r="F24" s="369">
        <f t="shared" si="4"/>
        <v>1.894224720670391E-2</v>
      </c>
      <c r="G24" s="369">
        <f t="shared" si="4"/>
        <v>1.5448788826815642E-2</v>
      </c>
      <c r="H24" s="369">
        <f t="shared" si="4"/>
        <v>1.3918122905027934E-2</v>
      </c>
      <c r="I24" s="369">
        <f t="shared" si="4"/>
        <v>1.125202314445331E-2</v>
      </c>
      <c r="J24" s="369">
        <f t="shared" si="4"/>
        <v>9.5730551675977642E-3</v>
      </c>
      <c r="K24" s="245"/>
    </row>
    <row r="25" spans="2:12" s="241" customFormat="1">
      <c r="B25" s="370" t="s">
        <v>358</v>
      </c>
      <c r="C25" s="371">
        <f>+C19*$L$22</f>
        <v>617317.12</v>
      </c>
      <c r="D25" s="371">
        <f t="shared" ref="D25:J25" si="5">+D19*$L$22</f>
        <v>585244.91999999993</v>
      </c>
      <c r="E25" s="371">
        <f t="shared" si="5"/>
        <v>580668.32000000007</v>
      </c>
      <c r="F25" s="371">
        <f t="shared" si="5"/>
        <v>542505.96</v>
      </c>
      <c r="G25" s="371">
        <f t="shared" si="5"/>
        <v>553066.64</v>
      </c>
      <c r="H25" s="371">
        <f t="shared" si="5"/>
        <v>597922.56000000006</v>
      </c>
      <c r="I25" s="371">
        <f t="shared" si="5"/>
        <v>563951.39999999991</v>
      </c>
      <c r="J25" s="372">
        <f t="shared" si="5"/>
        <v>548344.6</v>
      </c>
      <c r="K25" s="245"/>
    </row>
    <row r="26" spans="2:12" s="241" customFormat="1">
      <c r="B26" s="400" t="s">
        <v>429</v>
      </c>
      <c r="C26" s="401">
        <f>+C19*12/1</f>
        <v>1851951.3599999999</v>
      </c>
      <c r="D26" s="401">
        <f>+D19*12/2</f>
        <v>877867.37999999989</v>
      </c>
      <c r="E26" s="401">
        <f>+E19*12/3</f>
        <v>580668.32000000007</v>
      </c>
      <c r="F26" s="401">
        <f>+F19*12/4</f>
        <v>406879.47</v>
      </c>
      <c r="G26" s="401">
        <f>+G19*12/5</f>
        <v>331839.984</v>
      </c>
      <c r="H26" s="401">
        <f>+H19*12/6</f>
        <v>298961.28000000003</v>
      </c>
      <c r="I26" s="401">
        <f>+I19*12/7</f>
        <v>241693.45714285711</v>
      </c>
      <c r="J26" s="401">
        <f>+J19*12/8</f>
        <v>205629.22499999998</v>
      </c>
      <c r="K26" s="245"/>
    </row>
    <row r="27" spans="2:12" s="241" customFormat="1" ht="13.5" thickBot="1">
      <c r="B27" s="373" t="s">
        <v>360</v>
      </c>
      <c r="C27" s="476">
        <f>+$L$21/C26</f>
        <v>11.598576757437087</v>
      </c>
      <c r="D27" s="476">
        <f t="shared" ref="D27:J27" si="6">+$L$21/D26</f>
        <v>24.46838838003071</v>
      </c>
      <c r="E27" s="476">
        <f t="shared" si="6"/>
        <v>36.991857933630676</v>
      </c>
      <c r="F27" s="476">
        <f t="shared" si="6"/>
        <v>52.792046745440366</v>
      </c>
      <c r="G27" s="476">
        <f t="shared" si="6"/>
        <v>64.729993477820329</v>
      </c>
      <c r="H27" s="476">
        <f t="shared" si="6"/>
        <v>71.848769178403302</v>
      </c>
      <c r="I27" s="476">
        <f t="shared" si="6"/>
        <v>88.872906424206064</v>
      </c>
      <c r="J27" s="476">
        <f t="shared" si="6"/>
        <v>104.45985973054172</v>
      </c>
      <c r="K27" s="245"/>
    </row>
    <row r="28" spans="2:12" s="241" customFormat="1" ht="13.5" thickBot="1">
      <c r="B28" s="242"/>
      <c r="C28" s="367"/>
      <c r="D28" s="367"/>
      <c r="E28" s="367"/>
      <c r="F28" s="367"/>
      <c r="G28" s="367"/>
      <c r="H28" s="367"/>
      <c r="I28" s="367"/>
      <c r="J28" s="367"/>
      <c r="K28" s="245"/>
    </row>
    <row r="29" spans="2:12" s="241" customFormat="1" ht="13.5" thickBot="1">
      <c r="B29" s="242"/>
      <c r="C29" s="201" t="s">
        <v>44</v>
      </c>
      <c r="D29" s="201" t="s">
        <v>45</v>
      </c>
      <c r="E29" s="201" t="s">
        <v>46</v>
      </c>
      <c r="F29" s="201" t="s">
        <v>47</v>
      </c>
      <c r="G29" s="201" t="s">
        <v>48</v>
      </c>
      <c r="H29" s="201" t="s">
        <v>49</v>
      </c>
      <c r="I29" s="201" t="s">
        <v>50</v>
      </c>
      <c r="J29" s="201" t="s">
        <v>51</v>
      </c>
      <c r="K29" s="245"/>
    </row>
    <row r="30" spans="2:12" s="241" customFormat="1" ht="13.5" thickBot="1">
      <c r="B30" s="246" t="s">
        <v>223</v>
      </c>
      <c r="C30" s="247" t="s">
        <v>170</v>
      </c>
      <c r="D30" s="247" t="s">
        <v>170</v>
      </c>
      <c r="E30" s="247" t="s">
        <v>170</v>
      </c>
      <c r="F30" s="247" t="s">
        <v>170</v>
      </c>
      <c r="G30" s="247" t="s">
        <v>170</v>
      </c>
      <c r="H30" s="247" t="s">
        <v>170</v>
      </c>
      <c r="I30" s="247" t="s">
        <v>170</v>
      </c>
      <c r="J30" s="247" t="s">
        <v>170</v>
      </c>
      <c r="K30" s="245"/>
    </row>
    <row r="31" spans="2:12" s="241" customFormat="1" ht="13.5" thickTop="1">
      <c r="B31" s="322" t="s">
        <v>232</v>
      </c>
      <c r="C31" s="98">
        <f>+'Trend Dashboard'!G151</f>
        <v>11687.5</v>
      </c>
      <c r="D31" s="98">
        <f>+'Trend Dashboard'!K151</f>
        <v>23375</v>
      </c>
      <c r="E31" s="98">
        <f>+'Trend Dashboard'!O151</f>
        <v>35062.5</v>
      </c>
      <c r="F31" s="98">
        <f>+'Trend Dashboard'!S151</f>
        <v>46750</v>
      </c>
      <c r="G31" s="98">
        <f>+'Trend Dashboard'!W151</f>
        <v>58437.5</v>
      </c>
      <c r="H31" s="98">
        <f>+'Trend Dashboard'!AA151</f>
        <v>70212.5</v>
      </c>
      <c r="I31" s="98">
        <f>+'Trend Dashboard'!AE151</f>
        <v>82087.5</v>
      </c>
      <c r="J31" s="98">
        <f>+'Trend Dashboard'!AI151</f>
        <v>93962.5</v>
      </c>
      <c r="K31" s="245"/>
    </row>
    <row r="32" spans="2:12" s="241" customFormat="1">
      <c r="B32" s="184" t="s">
        <v>233</v>
      </c>
      <c r="C32" s="98">
        <f>+'Trend Dashboard'!G152</f>
        <v>169607.54</v>
      </c>
      <c r="D32" s="98">
        <f>+'Trend Dashboard'!K152</f>
        <v>340490.38</v>
      </c>
      <c r="E32" s="98">
        <f>+'Trend Dashboard'!O152</f>
        <v>507239.17</v>
      </c>
      <c r="F32" s="98">
        <f>+'Trend Dashboard'!S152</f>
        <v>659756.35</v>
      </c>
      <c r="G32" s="98">
        <f>+'Trend Dashboard'!W152</f>
        <v>831048.16</v>
      </c>
      <c r="H32" s="98">
        <f>+'Trend Dashboard'!AA152</f>
        <v>1005329.1</v>
      </c>
      <c r="I32" s="98">
        <f>+'Trend Dashboard'!AE152</f>
        <v>1178225.47</v>
      </c>
      <c r="J32" s="98">
        <f>+'Trend Dashboard'!AI152</f>
        <v>1336660.8500000001</v>
      </c>
      <c r="K32" s="245"/>
    </row>
    <row r="33" spans="2:12" s="241" customFormat="1" ht="13.5" thickBot="1">
      <c r="B33" s="186" t="s">
        <v>234</v>
      </c>
      <c r="C33" s="98">
        <f>+'Trend Dashboard'!G153+'Trend Dashboard'!G154</f>
        <v>25901.55</v>
      </c>
      <c r="D33" s="98">
        <f>+'Trend Dashboard'!K153+'Trend Dashboard'!K154</f>
        <v>39791.919999999998</v>
      </c>
      <c r="E33" s="98">
        <f>+'Trend Dashboard'!O153+'Trend Dashboard'!O154</f>
        <v>54923.39</v>
      </c>
      <c r="F33" s="98">
        <f>+'Trend Dashboard'!S153+'Trend Dashboard'!S154</f>
        <v>75672.05</v>
      </c>
      <c r="G33" s="98">
        <f>+'Trend Dashboard'!W153+'Trend Dashboard'!W154</f>
        <v>86294.799999999988</v>
      </c>
      <c r="H33" s="98">
        <f>+'Trend Dashboard'!AA153+'Trend Dashboard'!AA154</f>
        <v>97049.06</v>
      </c>
      <c r="I33" s="98">
        <f>+'Trend Dashboard'!AE153+'Trend Dashboard'!AE154</f>
        <v>113578.53</v>
      </c>
      <c r="J33" s="98">
        <f>+'Trend Dashboard'!AI153+'Trend Dashboard'!AI154</f>
        <v>132046.43</v>
      </c>
      <c r="K33" s="245"/>
    </row>
    <row r="34" spans="2:12" s="241" customFormat="1" ht="14.25" thickTop="1" thickBot="1">
      <c r="B34" s="70" t="s">
        <v>235</v>
      </c>
      <c r="C34" s="68">
        <f t="shared" ref="C34:J34" si="7">SUM(C31:C33)</f>
        <v>207196.59</v>
      </c>
      <c r="D34" s="68">
        <f t="shared" si="7"/>
        <v>403657.3</v>
      </c>
      <c r="E34" s="68">
        <f t="shared" si="7"/>
        <v>597225.05999999994</v>
      </c>
      <c r="F34" s="68">
        <f t="shared" si="7"/>
        <v>782178.4</v>
      </c>
      <c r="G34" s="68">
        <f t="shared" si="7"/>
        <v>975780.46</v>
      </c>
      <c r="H34" s="68">
        <f t="shared" si="7"/>
        <v>1172590.6600000001</v>
      </c>
      <c r="I34" s="68">
        <f t="shared" si="7"/>
        <v>1373891.5</v>
      </c>
      <c r="J34" s="68">
        <f t="shared" si="7"/>
        <v>1562669.78</v>
      </c>
      <c r="K34" s="245"/>
    </row>
    <row r="35" spans="2:12" s="241" customFormat="1" ht="14.25" thickTop="1" thickBot="1">
      <c r="B35" s="246" t="s">
        <v>147</v>
      </c>
      <c r="C35" s="200"/>
      <c r="D35" s="200"/>
      <c r="E35" s="200"/>
      <c r="F35" s="200"/>
      <c r="G35" s="200"/>
      <c r="H35" s="200"/>
      <c r="I35" s="200"/>
      <c r="J35" s="200"/>
      <c r="K35" s="245"/>
    </row>
    <row r="36" spans="2:12" s="241" customFormat="1">
      <c r="B36" s="198" t="s">
        <v>204</v>
      </c>
      <c r="C36" s="98">
        <f>+'Trend Dashboard'!G157</f>
        <v>7116.9</v>
      </c>
      <c r="D36" s="98">
        <f>+'Trend Dashboard'!K157</f>
        <v>12094.68</v>
      </c>
      <c r="E36" s="98">
        <f>+'Trend Dashboard'!O157</f>
        <v>17088.920000000002</v>
      </c>
      <c r="F36" s="98">
        <f>+'Trend Dashboard'!S157</f>
        <v>23867.38</v>
      </c>
      <c r="G36" s="98">
        <f>+'Trend Dashboard'!W157</f>
        <v>28703.530000000002</v>
      </c>
      <c r="H36" s="98">
        <f>+'Trend Dashboard'!AA157</f>
        <v>33125.86</v>
      </c>
      <c r="I36" s="98">
        <f>+'Trend Dashboard'!AE157</f>
        <v>38312.130000000005</v>
      </c>
      <c r="J36" s="98">
        <f>+'Trend Dashboard'!AI157</f>
        <v>47607.38</v>
      </c>
      <c r="K36" s="245"/>
    </row>
    <row r="37" spans="2:12" s="241" customFormat="1">
      <c r="B37" s="197" t="s">
        <v>205</v>
      </c>
      <c r="C37" s="98">
        <f>+'Trend Dashboard'!G158</f>
        <v>3183.52</v>
      </c>
      <c r="D37" s="98">
        <f>+'Trend Dashboard'!K158</f>
        <v>8046.26</v>
      </c>
      <c r="E37" s="98">
        <f>+'Trend Dashboard'!O158</f>
        <v>10811.97</v>
      </c>
      <c r="F37" s="98">
        <f>+'Trend Dashboard'!S158</f>
        <v>13066.04</v>
      </c>
      <c r="G37" s="98">
        <f>+'Trend Dashboard'!W158</f>
        <v>21354.720000000001</v>
      </c>
      <c r="H37" s="98">
        <f>+'Trend Dashboard'!AA158</f>
        <v>24621.200000000001</v>
      </c>
      <c r="I37" s="98">
        <f>+'Trend Dashboard'!AE158</f>
        <v>30484.15</v>
      </c>
      <c r="J37" s="98">
        <f>+'Trend Dashboard'!AI158</f>
        <v>34406.06</v>
      </c>
      <c r="K37" s="245"/>
    </row>
    <row r="38" spans="2:12" s="241" customFormat="1">
      <c r="B38" s="197" t="s">
        <v>206</v>
      </c>
      <c r="C38" s="98">
        <f>+'Trend Dashboard'!G159</f>
        <v>1604.61</v>
      </c>
      <c r="D38" s="98">
        <f>+'Trend Dashboard'!K159</f>
        <v>2894.96</v>
      </c>
      <c r="E38" s="98">
        <f>+'Trend Dashboard'!O159</f>
        <v>4130.58</v>
      </c>
      <c r="F38" s="98">
        <f>+'Trend Dashboard'!S159</f>
        <v>5553.39</v>
      </c>
      <c r="G38" s="98">
        <f>+'Trend Dashboard'!W159</f>
        <v>8639.1299999999992</v>
      </c>
      <c r="H38" s="98">
        <f>+'Trend Dashboard'!AA159</f>
        <v>9727.7199999999993</v>
      </c>
      <c r="I38" s="98">
        <f>+'Trend Dashboard'!AE159</f>
        <v>15857.08</v>
      </c>
      <c r="J38" s="98">
        <f>+'Trend Dashboard'!AI159</f>
        <v>18910.939999999999</v>
      </c>
      <c r="K38" s="245"/>
    </row>
    <row r="39" spans="2:12" s="241" customFormat="1">
      <c r="B39" s="198" t="s">
        <v>213</v>
      </c>
      <c r="C39" s="98">
        <f>+'Trend Dashboard'!G160</f>
        <v>5682.73</v>
      </c>
      <c r="D39" s="98">
        <f>+'Trend Dashboard'!K160</f>
        <v>10628.34</v>
      </c>
      <c r="E39" s="98">
        <f>+'Trend Dashboard'!O160</f>
        <v>14848.14</v>
      </c>
      <c r="F39" s="98">
        <f>+'Trend Dashboard'!S160</f>
        <v>19646.919999999998</v>
      </c>
      <c r="G39" s="98">
        <f>+'Trend Dashboard'!W160</f>
        <v>24571.9</v>
      </c>
      <c r="H39" s="98">
        <f>+'Trend Dashboard'!AA160</f>
        <v>29279.919999999998</v>
      </c>
      <c r="I39" s="98">
        <f>+'Trend Dashboard'!AE160</f>
        <v>35139.620000000003</v>
      </c>
      <c r="J39" s="98">
        <f>+'Trend Dashboard'!AI160</f>
        <v>39464.67</v>
      </c>
      <c r="K39" s="245"/>
    </row>
    <row r="40" spans="2:12" s="241" customFormat="1">
      <c r="B40" s="197" t="s">
        <v>208</v>
      </c>
      <c r="C40" s="98">
        <f>+'Trend Dashboard'!G161</f>
        <v>1884.48</v>
      </c>
      <c r="D40" s="98">
        <f>+'Trend Dashboard'!K161</f>
        <v>3769.12</v>
      </c>
      <c r="E40" s="98">
        <f>+'Trend Dashboard'!O161</f>
        <v>5653.76</v>
      </c>
      <c r="F40" s="98">
        <f>+'Trend Dashboard'!S161</f>
        <v>7538.4</v>
      </c>
      <c r="G40" s="98">
        <f>+'Trend Dashboard'!W161</f>
        <v>9422.93</v>
      </c>
      <c r="H40" s="98">
        <f>+'Trend Dashboard'!AA161</f>
        <v>11073.48</v>
      </c>
      <c r="I40" s="98">
        <f>+'Trend Dashboard'!AE161</f>
        <v>12724.03</v>
      </c>
      <c r="J40" s="98">
        <f>+'Trend Dashboard'!AI161</f>
        <v>14374.58</v>
      </c>
      <c r="K40" s="245"/>
    </row>
    <row r="41" spans="2:12" s="241" customFormat="1">
      <c r="B41" s="198" t="s">
        <v>209</v>
      </c>
      <c r="C41" s="98">
        <f>+'Trend Dashboard'!G162</f>
        <v>19432.64</v>
      </c>
      <c r="D41" s="98">
        <f>+'Trend Dashboard'!K162</f>
        <v>38865.279999999999</v>
      </c>
      <c r="E41" s="98">
        <f>+'Trend Dashboard'!O162</f>
        <v>58297.919999999998</v>
      </c>
      <c r="F41" s="98">
        <f>+'Trend Dashboard'!S162</f>
        <v>77730.559999999998</v>
      </c>
      <c r="G41" s="98">
        <f>+'Trend Dashboard'!W162</f>
        <v>97163.199999999997</v>
      </c>
      <c r="H41" s="98">
        <f>+'Trend Dashboard'!AA162</f>
        <v>116595.83</v>
      </c>
      <c r="I41" s="98">
        <f>+'Trend Dashboard'!AE162</f>
        <v>136417.12</v>
      </c>
      <c r="J41" s="98">
        <f>+'Trend Dashboard'!AI162</f>
        <v>156238.41</v>
      </c>
      <c r="K41" s="245"/>
    </row>
    <row r="42" spans="2:12" s="241" customFormat="1">
      <c r="B42" s="197" t="s">
        <v>210</v>
      </c>
      <c r="C42" s="98">
        <f>+'Trend Dashboard'!G163</f>
        <v>1580.3</v>
      </c>
      <c r="D42" s="98">
        <f>+'Trend Dashboard'!K163</f>
        <v>2631.36</v>
      </c>
      <c r="E42" s="98">
        <f>+'Trend Dashboard'!O163</f>
        <v>3632.15</v>
      </c>
      <c r="F42" s="98">
        <f>+'Trend Dashboard'!S163</f>
        <v>6558.65</v>
      </c>
      <c r="G42" s="98">
        <f>+'Trend Dashboard'!W163</f>
        <v>9097.2099999999991</v>
      </c>
      <c r="H42" s="98">
        <f>+'Trend Dashboard'!AA163</f>
        <v>10729.65</v>
      </c>
      <c r="I42" s="98">
        <f>+'Trend Dashboard'!AE163</f>
        <v>15415.11</v>
      </c>
      <c r="J42" s="98">
        <f>+'Trend Dashboard'!AI163</f>
        <v>15799.15</v>
      </c>
      <c r="K42" s="245"/>
    </row>
    <row r="43" spans="2:12" s="241" customFormat="1">
      <c r="B43" s="197" t="s">
        <v>211</v>
      </c>
      <c r="C43" s="98">
        <f>+'Trend Dashboard'!G164</f>
        <v>317.52</v>
      </c>
      <c r="D43" s="98">
        <f>+'Trend Dashboard'!K164</f>
        <v>1169.9499999999998</v>
      </c>
      <c r="E43" s="98">
        <f>+'Trend Dashboard'!O164</f>
        <v>3097.19</v>
      </c>
      <c r="F43" s="98">
        <f>+'Trend Dashboard'!S164</f>
        <v>3297.6400000000003</v>
      </c>
      <c r="G43" s="98">
        <f>+'Trend Dashboard'!W164</f>
        <v>3769.2300000000005</v>
      </c>
      <c r="H43" s="98">
        <f>+'Trend Dashboard'!AA164</f>
        <v>4254.9000000000005</v>
      </c>
      <c r="I43" s="98">
        <f>+'Trend Dashboard'!AE164</f>
        <v>4513.5600000000004</v>
      </c>
      <c r="J43" s="98">
        <f>+'Trend Dashboard'!AI164</f>
        <v>4623.4900000000007</v>
      </c>
      <c r="K43" s="245"/>
    </row>
    <row r="44" spans="2:12" s="241" customFormat="1" ht="13.5" thickBot="1">
      <c r="B44" s="199" t="s">
        <v>214</v>
      </c>
      <c r="C44" s="98">
        <f>+'Trend Dashboard'!G165</f>
        <v>12064.61</v>
      </c>
      <c r="D44" s="98">
        <f>+'Trend Dashboard'!K165</f>
        <v>22916.84</v>
      </c>
      <c r="E44" s="98">
        <f>+'Trend Dashboard'!O165</f>
        <v>33856.839999999997</v>
      </c>
      <c r="F44" s="98">
        <f>+'Trend Dashboard'!S165</f>
        <v>43485.34</v>
      </c>
      <c r="G44" s="98">
        <f>+'Trend Dashboard'!W165</f>
        <v>53357.87</v>
      </c>
      <c r="H44" s="98">
        <f>+'Trend Dashboard'!AA165</f>
        <v>64000.72</v>
      </c>
      <c r="I44" s="98">
        <f>+'Trend Dashboard'!AE165</f>
        <v>74859.47</v>
      </c>
      <c r="J44" s="98">
        <f>+'Trend Dashboard'!AI165</f>
        <v>83989.72</v>
      </c>
      <c r="K44" s="245"/>
    </row>
    <row r="45" spans="2:12" s="241" customFormat="1" ht="14.25" thickTop="1" thickBot="1">
      <c r="B45" s="69" t="s">
        <v>236</v>
      </c>
      <c r="C45" s="68">
        <f>SUM(C36:C44)</f>
        <v>52867.310000000005</v>
      </c>
      <c r="D45" s="68">
        <f t="shared" ref="D45" si="8">SUM(D36:D44)</f>
        <v>103016.79000000001</v>
      </c>
      <c r="E45" s="68">
        <f t="shared" ref="E45" si="9">SUM(E36:E44)</f>
        <v>151417.47</v>
      </c>
      <c r="F45" s="68">
        <f t="shared" ref="F45" si="10">SUM(F36:F44)</f>
        <v>200744.32000000001</v>
      </c>
      <c r="G45" s="68">
        <f t="shared" ref="G45" si="11">SUM(G36:G44)</f>
        <v>256079.71999999997</v>
      </c>
      <c r="H45" s="68">
        <f t="shared" ref="H45" si="12">SUM(H36:H44)</f>
        <v>303409.28000000003</v>
      </c>
      <c r="I45" s="68">
        <f t="shared" ref="I45" si="13">SUM(I36:I44)</f>
        <v>363722.27</v>
      </c>
      <c r="J45" s="68">
        <f t="shared" ref="J45" si="14">SUM(J36:J44)</f>
        <v>415414.4</v>
      </c>
      <c r="K45" s="245"/>
    </row>
    <row r="46" spans="2:12" s="241" customFormat="1" ht="14.25" thickTop="1" thickBot="1">
      <c r="B46" s="69" t="s">
        <v>237</v>
      </c>
      <c r="C46" s="68">
        <f>+C34-C45</f>
        <v>154329.28</v>
      </c>
      <c r="D46" s="68">
        <f t="shared" ref="D46" si="15">+D34-D45</f>
        <v>300640.51</v>
      </c>
      <c r="E46" s="68">
        <f t="shared" ref="E46" si="16">+E34-E45</f>
        <v>445807.58999999997</v>
      </c>
      <c r="F46" s="68">
        <f t="shared" ref="F46" si="17">+F34-F45</f>
        <v>581434.08000000007</v>
      </c>
      <c r="G46" s="68">
        <f t="shared" ref="G46" si="18">+G34-G45</f>
        <v>719700.74</v>
      </c>
      <c r="H46" s="68">
        <f t="shared" ref="H46" si="19">+H34-H45</f>
        <v>869181.38000000012</v>
      </c>
      <c r="I46" s="68">
        <f t="shared" ref="I46" si="20">+I34-I45</f>
        <v>1010169.23</v>
      </c>
      <c r="J46" s="68">
        <f t="shared" ref="J46" si="21">+J34-J45</f>
        <v>1147255.3799999999</v>
      </c>
      <c r="K46" s="245"/>
    </row>
    <row r="47" spans="2:12" s="241" customFormat="1" ht="14.25" thickTop="1" thickBot="1">
      <c r="B47" s="69" t="s">
        <v>238</v>
      </c>
      <c r="C47" s="98">
        <f>+'Trend Dashboard'!G168</f>
        <v>68067.73</v>
      </c>
      <c r="D47" s="98">
        <f>+'Trend Dashboard'!K168</f>
        <v>129548.26</v>
      </c>
      <c r="E47" s="98">
        <f>+'Trend Dashboard'!O168</f>
        <v>197615.99</v>
      </c>
      <c r="F47" s="98">
        <f>+'Trend Dashboard'!S168</f>
        <v>263487.99</v>
      </c>
      <c r="G47" s="98">
        <f>+'Trend Dashboard'!W168</f>
        <v>331555.71999999997</v>
      </c>
      <c r="H47" s="98">
        <f>+'Trend Dashboard'!AA168</f>
        <v>397427.72</v>
      </c>
      <c r="I47" s="98">
        <f>+'Trend Dashboard'!AE168</f>
        <v>465495.45</v>
      </c>
      <c r="J47" s="98">
        <f>+'Trend Dashboard'!AI168</f>
        <v>533563.18000000005</v>
      </c>
      <c r="K47" s="245"/>
    </row>
    <row r="48" spans="2:12" s="241" customFormat="1" ht="14.25" thickTop="1" thickBot="1">
      <c r="B48" s="69" t="s">
        <v>239</v>
      </c>
      <c r="C48" s="68">
        <f>+'Trend Dashboard'!G170</f>
        <v>69629.05</v>
      </c>
      <c r="D48" s="68">
        <f>+'Trend Dashboard'!K170</f>
        <v>134779.09</v>
      </c>
      <c r="E48" s="68">
        <f>+'Trend Dashboard'!O170</f>
        <v>204945.31999999998</v>
      </c>
      <c r="F48" s="68">
        <f>+'Trend Dashboard'!S170</f>
        <v>273158.84999999998</v>
      </c>
      <c r="G48" s="68">
        <f>+'Trend Dashboard'!W170</f>
        <v>342768.11</v>
      </c>
      <c r="H48" s="68">
        <f>+'Trend Dashboard'!AA170</f>
        <v>423289.25</v>
      </c>
      <c r="I48" s="68">
        <f>+'Trend Dashboard'!AE170</f>
        <v>492898.51000000007</v>
      </c>
      <c r="J48" s="68">
        <f>+'Trend Dashboard'!AI170</f>
        <v>569015.99</v>
      </c>
      <c r="K48" s="377" t="s">
        <v>357</v>
      </c>
      <c r="L48" s="378">
        <v>21480000</v>
      </c>
    </row>
    <row r="49" spans="1:12" s="241" customFormat="1" ht="14.25" thickTop="1" thickBot="1">
      <c r="B49" s="69" t="s">
        <v>240</v>
      </c>
      <c r="C49" s="68">
        <f>+C46-C48</f>
        <v>84700.23</v>
      </c>
      <c r="D49" s="68">
        <f t="shared" ref="D49" si="22">+D46-D48</f>
        <v>165861.42000000001</v>
      </c>
      <c r="E49" s="68">
        <f t="shared" ref="E49" si="23">+E46-E48</f>
        <v>240862.27</v>
      </c>
      <c r="F49" s="68">
        <f t="shared" ref="F49" si="24">+F46-F48</f>
        <v>308275.2300000001</v>
      </c>
      <c r="G49" s="68">
        <f t="shared" ref="G49" si="25">+G46-G48</f>
        <v>376932.63</v>
      </c>
      <c r="H49" s="68">
        <f t="shared" ref="H49" si="26">+H46-H48</f>
        <v>445892.13000000012</v>
      </c>
      <c r="I49" s="68">
        <f t="shared" ref="I49" si="27">+I46-I48</f>
        <v>517270.71999999991</v>
      </c>
      <c r="J49" s="68">
        <f t="shared" ref="J49" si="28">+J46-J48</f>
        <v>578239.3899999999</v>
      </c>
      <c r="K49" s="375" t="s">
        <v>359</v>
      </c>
      <c r="L49" s="376">
        <f>4/100</f>
        <v>0.04</v>
      </c>
    </row>
    <row r="50" spans="1:12" ht="14.25" thickTop="1" thickBot="1">
      <c r="B50" s="67" t="s">
        <v>428</v>
      </c>
      <c r="C50" s="399">
        <f>+C46*12/1</f>
        <v>1851951.3599999999</v>
      </c>
      <c r="D50" s="399">
        <f>+D46*12/2</f>
        <v>1803843.06</v>
      </c>
      <c r="E50" s="399">
        <f>+E46*12/3</f>
        <v>1783230.36</v>
      </c>
      <c r="F50" s="399">
        <f>+F46*12/4</f>
        <v>1744302.2400000002</v>
      </c>
      <c r="G50" s="399">
        <f>+G46*12/5</f>
        <v>1727281.7759999998</v>
      </c>
      <c r="H50" s="399">
        <f>+H46*12/6</f>
        <v>1738362.7600000005</v>
      </c>
      <c r="I50" s="399">
        <f>+I46*12/7</f>
        <v>1731718.68</v>
      </c>
      <c r="J50" s="399">
        <f>+J46*12/8</f>
        <v>1720883.0699999998</v>
      </c>
    </row>
    <row r="51" spans="1:12" s="241" customFormat="1">
      <c r="B51" s="368" t="s">
        <v>356</v>
      </c>
      <c r="C51" s="369">
        <f>+C50/$L$48</f>
        <v>8.6217474860335194E-2</v>
      </c>
      <c r="D51" s="369">
        <f t="shared" ref="D51:J51" si="29">+D50/$L$48</f>
        <v>8.3977796089385479E-2</v>
      </c>
      <c r="E51" s="369">
        <f t="shared" si="29"/>
        <v>8.3018173184357544E-2</v>
      </c>
      <c r="F51" s="369">
        <f t="shared" si="29"/>
        <v>8.1205877094972082E-2</v>
      </c>
      <c r="G51" s="369">
        <f t="shared" si="29"/>
        <v>8.0413490502793283E-2</v>
      </c>
      <c r="H51" s="369">
        <f t="shared" si="29"/>
        <v>8.0929364990689034E-2</v>
      </c>
      <c r="I51" s="369">
        <f>+I50/$L$48</f>
        <v>8.06200502793296E-2</v>
      </c>
      <c r="J51" s="484">
        <f t="shared" si="29"/>
        <v>8.0115599162011164E-2</v>
      </c>
      <c r="K51" s="245"/>
    </row>
    <row r="52" spans="1:12" s="241" customFormat="1">
      <c r="B52" s="370" t="s">
        <v>358</v>
      </c>
      <c r="C52" s="371">
        <f>+C50/$L$49</f>
        <v>46298783.999999993</v>
      </c>
      <c r="D52" s="371">
        <f t="shared" ref="D52:J52" si="30">+D50/$L$49</f>
        <v>45096076.5</v>
      </c>
      <c r="E52" s="371">
        <f t="shared" si="30"/>
        <v>44580759</v>
      </c>
      <c r="F52" s="371">
        <f t="shared" si="30"/>
        <v>43607556.000000007</v>
      </c>
      <c r="G52" s="371">
        <f t="shared" si="30"/>
        <v>43182044.399999999</v>
      </c>
      <c r="H52" s="371">
        <f t="shared" si="30"/>
        <v>43459069.000000007</v>
      </c>
      <c r="I52" s="371">
        <f>+I50/$L$49</f>
        <v>43292967</v>
      </c>
      <c r="J52" s="372">
        <f t="shared" si="30"/>
        <v>43022076.749999993</v>
      </c>
      <c r="K52" s="245"/>
      <c r="L52" s="483"/>
    </row>
    <row r="53" spans="1:12" s="241" customFormat="1" ht="13.5" thickBot="1">
      <c r="B53" s="373" t="s">
        <v>360</v>
      </c>
      <c r="C53" s="482">
        <f>+$L$48/C52</f>
        <v>0.4639430702974835</v>
      </c>
      <c r="D53" s="482">
        <f t="shared" ref="D53:J53" si="31">+$L$48/D52</f>
        <v>0.47631638198059206</v>
      </c>
      <c r="E53" s="482">
        <f t="shared" si="31"/>
        <v>0.4818222139286592</v>
      </c>
      <c r="F53" s="482">
        <f t="shared" si="31"/>
        <v>0.49257518582330079</v>
      </c>
      <c r="G53" s="482">
        <f t="shared" si="31"/>
        <v>0.49742897304788103</v>
      </c>
      <c r="H53" s="482">
        <f t="shared" si="31"/>
        <v>0.49425817198246919</v>
      </c>
      <c r="I53" s="482">
        <f t="shared" si="31"/>
        <v>0.49615449086684216</v>
      </c>
      <c r="J53" s="485">
        <f t="shared" si="31"/>
        <v>0.49927854772840558</v>
      </c>
      <c r="K53" s="367"/>
    </row>
    <row r="54" spans="1:12" s="241" customFormat="1">
      <c r="B54" s="242"/>
      <c r="C54" s="245"/>
      <c r="D54" s="245"/>
      <c r="E54" s="245"/>
      <c r="F54" s="245"/>
      <c r="G54" s="245"/>
      <c r="H54" s="245"/>
      <c r="I54" s="245"/>
      <c r="J54" s="245"/>
      <c r="K54" s="245"/>
      <c r="L54" s="483"/>
    </row>
    <row r="55" spans="1:12" s="29" customFormat="1" ht="6.95" customHeight="1">
      <c r="A55" s="4"/>
      <c r="B55" s="4"/>
      <c r="C55" s="4"/>
      <c r="D55" s="3"/>
      <c r="E55" s="3"/>
      <c r="F55" s="4"/>
      <c r="G55" s="4"/>
      <c r="H55" s="4"/>
      <c r="I55" s="4"/>
      <c r="J55" s="4"/>
      <c r="K55" s="4"/>
    </row>
    <row r="56" spans="1:12" ht="13.5" thickBot="1"/>
    <row r="57" spans="1:12" ht="16.5" thickBot="1">
      <c r="B57" s="677" t="s">
        <v>124</v>
      </c>
      <c r="C57" s="678"/>
      <c r="D57" s="678"/>
      <c r="E57" s="678"/>
      <c r="F57" s="678"/>
      <c r="G57" s="678"/>
      <c r="H57" s="678"/>
      <c r="I57" s="678"/>
      <c r="J57" s="679"/>
    </row>
    <row r="58" spans="1:12" ht="16.5" thickBot="1">
      <c r="B58" s="321"/>
      <c r="C58" s="201" t="s">
        <v>44</v>
      </c>
      <c r="D58" s="201" t="s">
        <v>45</v>
      </c>
      <c r="E58" s="201" t="s">
        <v>46</v>
      </c>
      <c r="F58" s="201" t="s">
        <v>47</v>
      </c>
      <c r="G58" s="201" t="s">
        <v>48</v>
      </c>
      <c r="H58" s="201" t="s">
        <v>49</v>
      </c>
      <c r="I58" s="201" t="s">
        <v>50</v>
      </c>
      <c r="J58" s="201" t="s">
        <v>51</v>
      </c>
    </row>
    <row r="59" spans="1:12">
      <c r="B59" s="248" t="s">
        <v>224</v>
      </c>
      <c r="C59" s="249"/>
      <c r="D59" s="249"/>
      <c r="E59" s="249"/>
      <c r="F59" s="249"/>
      <c r="G59" s="249"/>
      <c r="H59" s="249"/>
      <c r="I59" s="249"/>
      <c r="J59" s="249"/>
    </row>
    <row r="60" spans="1:12">
      <c r="B60" s="248" t="s">
        <v>447</v>
      </c>
      <c r="C60" s="250">
        <v>0</v>
      </c>
      <c r="D60" s="250">
        <v>0</v>
      </c>
      <c r="E60" s="250">
        <v>0</v>
      </c>
      <c r="F60" s="250">
        <v>0</v>
      </c>
      <c r="G60" s="250">
        <v>0</v>
      </c>
      <c r="H60" s="250">
        <v>0</v>
      </c>
      <c r="I60" s="250">
        <v>0</v>
      </c>
      <c r="J60" s="250">
        <v>0</v>
      </c>
    </row>
    <row r="61" spans="1:12" ht="13.5" thickBot="1">
      <c r="B61" s="251" t="s">
        <v>448</v>
      </c>
      <c r="C61" s="252">
        <v>0</v>
      </c>
      <c r="D61" s="252">
        <v>0</v>
      </c>
      <c r="E61" s="252">
        <v>0</v>
      </c>
      <c r="F61" s="252">
        <v>0</v>
      </c>
      <c r="G61" s="252">
        <v>0</v>
      </c>
      <c r="H61" s="252">
        <v>0</v>
      </c>
      <c r="I61" s="252">
        <v>0</v>
      </c>
      <c r="J61" s="252">
        <v>0</v>
      </c>
    </row>
    <row r="62" spans="1:12" ht="13.5" thickBot="1">
      <c r="B62" s="253" t="s">
        <v>224</v>
      </c>
      <c r="C62" s="254">
        <f>SUM(C60:C61)</f>
        <v>0</v>
      </c>
      <c r="D62" s="254">
        <f t="shared" ref="D62:J62" si="32">SUM(D60:D61)</f>
        <v>0</v>
      </c>
      <c r="E62" s="254">
        <f t="shared" si="32"/>
        <v>0</v>
      </c>
      <c r="F62" s="254">
        <f t="shared" si="32"/>
        <v>0</v>
      </c>
      <c r="G62" s="254">
        <f t="shared" si="32"/>
        <v>0</v>
      </c>
      <c r="H62" s="254">
        <f t="shared" si="32"/>
        <v>0</v>
      </c>
      <c r="I62" s="254">
        <f t="shared" si="32"/>
        <v>0</v>
      </c>
      <c r="J62" s="254">
        <f t="shared" si="32"/>
        <v>0</v>
      </c>
    </row>
    <row r="63" spans="1:12" ht="13.5" thickBot="1"/>
    <row r="64" spans="1:12" ht="16.5" thickBot="1">
      <c r="B64" s="677" t="s">
        <v>194</v>
      </c>
      <c r="C64" s="678"/>
      <c r="D64" s="678"/>
      <c r="E64" s="678"/>
      <c r="F64" s="678"/>
      <c r="G64" s="678"/>
      <c r="H64" s="678"/>
      <c r="I64" s="678"/>
      <c r="J64" s="679"/>
    </row>
    <row r="65" spans="1:11" ht="16.5" thickBot="1">
      <c r="B65" s="321"/>
      <c r="C65" s="201" t="s">
        <v>44</v>
      </c>
      <c r="D65" s="201" t="s">
        <v>45</v>
      </c>
      <c r="E65" s="201" t="s">
        <v>46</v>
      </c>
      <c r="F65" s="201" t="s">
        <v>47</v>
      </c>
      <c r="G65" s="201" t="s">
        <v>48</v>
      </c>
      <c r="H65" s="201" t="s">
        <v>49</v>
      </c>
      <c r="I65" s="201" t="s">
        <v>50</v>
      </c>
      <c r="J65" s="201" t="s">
        <v>51</v>
      </c>
    </row>
    <row r="66" spans="1:11">
      <c r="B66" s="248" t="s">
        <v>225</v>
      </c>
      <c r="C66" s="249"/>
      <c r="D66" s="249"/>
      <c r="E66" s="249"/>
      <c r="F66" s="249"/>
      <c r="G66" s="249"/>
      <c r="H66" s="249"/>
      <c r="I66" s="249"/>
      <c r="J66" s="249"/>
    </row>
    <row r="67" spans="1:11">
      <c r="B67" s="248" t="s">
        <v>450</v>
      </c>
      <c r="C67" s="250">
        <v>-27209.1</v>
      </c>
      <c r="D67" s="250">
        <v>-60905.14</v>
      </c>
      <c r="E67" s="250">
        <v>-29223.26</v>
      </c>
      <c r="F67" s="250">
        <v>-16426.16</v>
      </c>
      <c r="G67" s="250">
        <v>-46209.3</v>
      </c>
      <c r="H67" s="250">
        <v>31537.89</v>
      </c>
      <c r="I67" s="250">
        <v>-36825.61</v>
      </c>
      <c r="J67" s="250">
        <v>-62633.91</v>
      </c>
    </row>
    <row r="68" spans="1:11" ht="13.5" thickBot="1">
      <c r="B68" s="251" t="s">
        <v>449</v>
      </c>
      <c r="C68" s="252">
        <v>-16743.89</v>
      </c>
      <c r="D68" s="252">
        <v>-37479.699999999997</v>
      </c>
      <c r="E68" s="252">
        <v>-17983.37</v>
      </c>
      <c r="F68" s="252">
        <v>-10108.31</v>
      </c>
      <c r="G68" s="252">
        <v>-28436.2</v>
      </c>
      <c r="H68" s="252">
        <v>-19407.740000000002</v>
      </c>
      <c r="I68" s="252">
        <v>-22661.68</v>
      </c>
      <c r="J68" s="252">
        <v>-38543.56</v>
      </c>
    </row>
    <row r="69" spans="1:11" ht="13.5" thickBot="1">
      <c r="B69" s="253" t="s">
        <v>225</v>
      </c>
      <c r="C69" s="254">
        <f>SUM(C67:C68)</f>
        <v>-43952.99</v>
      </c>
      <c r="D69" s="254">
        <f t="shared" ref="D69:J69" si="33">SUM(D67:D68)</f>
        <v>-98384.84</v>
      </c>
      <c r="E69" s="254">
        <f t="shared" si="33"/>
        <v>-47206.63</v>
      </c>
      <c r="F69" s="254">
        <f t="shared" si="33"/>
        <v>-26534.47</v>
      </c>
      <c r="G69" s="254">
        <f t="shared" si="33"/>
        <v>-74645.5</v>
      </c>
      <c r="H69" s="254">
        <f t="shared" si="33"/>
        <v>12130.149999999998</v>
      </c>
      <c r="I69" s="254">
        <f t="shared" si="33"/>
        <v>-59487.29</v>
      </c>
      <c r="J69" s="254">
        <f t="shared" si="33"/>
        <v>-101177.47</v>
      </c>
    </row>
    <row r="71" spans="1:11" s="29" customFormat="1" ht="6.95" customHeight="1">
      <c r="A71" s="4"/>
      <c r="B71" s="4"/>
      <c r="C71" s="4"/>
      <c r="D71" s="3"/>
      <c r="E71" s="3"/>
      <c r="F71" s="4"/>
      <c r="G71" s="4"/>
      <c r="H71" s="4"/>
      <c r="I71" s="4"/>
      <c r="J71" s="4"/>
      <c r="K71" s="4"/>
    </row>
    <row r="72" spans="1:11" ht="13.5" thickBot="1"/>
    <row r="73" spans="1:11" ht="13.5" thickBot="1">
      <c r="B73" s="674" t="s">
        <v>255</v>
      </c>
      <c r="C73" s="675"/>
      <c r="D73" s="675"/>
      <c r="E73" s="675"/>
      <c r="F73" s="675"/>
      <c r="G73" s="675"/>
      <c r="H73" s="675"/>
      <c r="I73" s="675"/>
      <c r="J73" s="676"/>
    </row>
    <row r="74" spans="1:11" ht="13.5" thickBot="1">
      <c r="B74" s="183" t="s">
        <v>226</v>
      </c>
      <c r="C74" s="201" t="s">
        <v>44</v>
      </c>
      <c r="D74" s="201" t="s">
        <v>45</v>
      </c>
      <c r="E74" s="201" t="s">
        <v>46</v>
      </c>
      <c r="F74" s="201" t="s">
        <v>47</v>
      </c>
      <c r="G74" s="201" t="s">
        <v>48</v>
      </c>
      <c r="H74" s="201" t="s">
        <v>49</v>
      </c>
      <c r="I74" s="201" t="s">
        <v>50</v>
      </c>
      <c r="J74" s="201" t="s">
        <v>51</v>
      </c>
    </row>
    <row r="75" spans="1:11" ht="14.25" thickTop="1" thickBot="1">
      <c r="B75" s="185"/>
      <c r="C75" s="185" t="s">
        <v>197</v>
      </c>
      <c r="D75" s="185" t="s">
        <v>197</v>
      </c>
      <c r="E75" s="185" t="s">
        <v>197</v>
      </c>
      <c r="F75" s="185" t="s">
        <v>197</v>
      </c>
      <c r="G75" s="185" t="s">
        <v>197</v>
      </c>
      <c r="H75" s="185" t="s">
        <v>197</v>
      </c>
      <c r="I75" s="185" t="s">
        <v>197</v>
      </c>
      <c r="J75" s="185" t="s">
        <v>197</v>
      </c>
    </row>
    <row r="76" spans="1:11" ht="13.5" thickBot="1">
      <c r="B76" s="197" t="s">
        <v>256</v>
      </c>
      <c r="C76" s="73">
        <v>56801.329999999994</v>
      </c>
      <c r="D76" s="73">
        <v>-21571.849999999991</v>
      </c>
      <c r="E76" s="73">
        <v>-6711.5199999999895</v>
      </c>
      <c r="F76" s="73">
        <v>47146.290000000008</v>
      </c>
      <c r="G76" s="73">
        <v>2034.4599999999919</v>
      </c>
      <c r="H76" s="73">
        <v>-12948.979999999996</v>
      </c>
      <c r="I76" s="73">
        <v>24637.989999999998</v>
      </c>
      <c r="J76" s="73">
        <v>-52634.19</v>
      </c>
    </row>
    <row r="77" spans="1:11" ht="13.5" thickBot="1">
      <c r="B77" s="185"/>
      <c r="C77" s="185" t="s">
        <v>170</v>
      </c>
      <c r="D77" s="185" t="s">
        <v>170</v>
      </c>
      <c r="E77" s="185" t="s">
        <v>170</v>
      </c>
      <c r="F77" s="185" t="s">
        <v>170</v>
      </c>
      <c r="G77" s="185" t="s">
        <v>170</v>
      </c>
      <c r="H77" s="185" t="s">
        <v>170</v>
      </c>
      <c r="I77" s="185" t="s">
        <v>170</v>
      </c>
      <c r="J77" s="185" t="s">
        <v>170</v>
      </c>
    </row>
    <row r="78" spans="1:11">
      <c r="B78" s="197" t="s">
        <v>257</v>
      </c>
      <c r="C78" s="89">
        <v>56801.329999999994</v>
      </c>
      <c r="D78" s="89">
        <v>35229.48000000001</v>
      </c>
      <c r="E78" s="89">
        <v>28517.959999999992</v>
      </c>
      <c r="F78" s="89">
        <v>75664.249999999971</v>
      </c>
      <c r="G78" s="89">
        <v>77698.710000000021</v>
      </c>
      <c r="H78" s="89">
        <v>64749.729999999981</v>
      </c>
      <c r="I78" s="89">
        <v>89387.719999999972</v>
      </c>
      <c r="J78" s="89">
        <v>36753.530000000028</v>
      </c>
    </row>
    <row r="80" spans="1:11" s="29" customFormat="1" ht="6.95" customHeight="1">
      <c r="A80" s="4"/>
      <c r="B80" s="4"/>
      <c r="C80" s="4"/>
      <c r="D80" s="3"/>
      <c r="E80" s="3"/>
      <c r="F80" s="4"/>
      <c r="G80" s="4"/>
      <c r="H80" s="4"/>
      <c r="I80" s="4"/>
      <c r="J80" s="4"/>
      <c r="K80" s="4"/>
    </row>
    <row r="81" spans="1:11" ht="13.5" thickBot="1"/>
    <row r="82" spans="1:11" ht="13.5" thickBot="1">
      <c r="B82" s="674" t="s">
        <v>193</v>
      </c>
      <c r="C82" s="675"/>
      <c r="D82" s="675"/>
      <c r="E82" s="675"/>
      <c r="F82" s="675"/>
      <c r="G82" s="675"/>
      <c r="H82" s="675"/>
      <c r="I82" s="675"/>
      <c r="J82" s="676"/>
    </row>
    <row r="83" spans="1:11" ht="13.5" thickBot="1">
      <c r="B83" s="240"/>
      <c r="C83" s="201" t="s">
        <v>44</v>
      </c>
      <c r="D83" s="201" t="s">
        <v>45</v>
      </c>
      <c r="E83" s="201" t="s">
        <v>46</v>
      </c>
      <c r="F83" s="201" t="s">
        <v>47</v>
      </c>
      <c r="G83" s="201" t="s">
        <v>48</v>
      </c>
      <c r="H83" s="201" t="s">
        <v>49</v>
      </c>
      <c r="I83" s="201" t="s">
        <v>50</v>
      </c>
      <c r="J83" s="201" t="s">
        <v>51</v>
      </c>
    </row>
    <row r="84" spans="1:11" ht="13.5" thickBot="1">
      <c r="B84" s="183" t="s">
        <v>226</v>
      </c>
      <c r="C84" s="185" t="s">
        <v>197</v>
      </c>
      <c r="D84" s="185" t="s">
        <v>197</v>
      </c>
      <c r="E84" s="185" t="s">
        <v>197</v>
      </c>
      <c r="F84" s="185" t="s">
        <v>197</v>
      </c>
      <c r="G84" s="185" t="s">
        <v>197</v>
      </c>
      <c r="H84" s="185" t="s">
        <v>197</v>
      </c>
      <c r="I84" s="185" t="s">
        <v>197</v>
      </c>
      <c r="J84" s="185" t="s">
        <v>197</v>
      </c>
    </row>
    <row r="85" spans="1:11" ht="13.5" thickTop="1">
      <c r="B85" s="197" t="s">
        <v>200</v>
      </c>
      <c r="C85" s="73">
        <f>+'Balance Sheet'!B9</f>
        <v>242579.72</v>
      </c>
      <c r="D85" s="73">
        <f>+'Balance Sheet'!E9</f>
        <v>180635.77</v>
      </c>
      <c r="E85" s="73">
        <f>+'Balance Sheet'!H9</f>
        <v>177729.84</v>
      </c>
      <c r="F85" s="73">
        <f>+'Balance Sheet'!K9</f>
        <v>215580.38</v>
      </c>
      <c r="G85" s="73">
        <f>+'Balance Sheet'!N9</f>
        <v>187671.26</v>
      </c>
      <c r="H85" s="73">
        <f>+'Balance Sheet'!Q9</f>
        <v>207536.85</v>
      </c>
      <c r="I85" s="73">
        <f>+'Balance Sheet'!T9</f>
        <v>239264.69</v>
      </c>
      <c r="J85" s="73">
        <f>+'Balance Sheet'!W9</f>
        <v>233709.29</v>
      </c>
    </row>
    <row r="86" spans="1:11">
      <c r="B86" s="197" t="s">
        <v>201</v>
      </c>
      <c r="C86" s="88">
        <f>+C85/'Key Dashboards-July 2017'!$N$37</f>
        <v>6.1361323451293854</v>
      </c>
      <c r="D86" s="88">
        <f>+D85/'Key Dashboards-July 2017'!$N$37</f>
        <v>4.5692401285002404</v>
      </c>
      <c r="E86" s="88">
        <f>+E85/'Key Dashboards-July 2017'!$N$37</f>
        <v>4.4957336908405638</v>
      </c>
      <c r="F86" s="88">
        <f>+F85/'Key Dashboards-July 2017'!$N$37</f>
        <v>5.4531753218829842</v>
      </c>
      <c r="G86" s="88">
        <f>+G85/'Key Dashboards-July 2017'!$N$37</f>
        <v>4.747205119773354</v>
      </c>
      <c r="H86" s="88">
        <f>+H85/'Key Dashboards-July 2017'!$N$37</f>
        <v>5.2497116333189995</v>
      </c>
      <c r="I86" s="88">
        <f>+I85/'Key Dashboards-July 2017'!$N$37</f>
        <v>6.0522775908734472</v>
      </c>
      <c r="J86" s="88">
        <f>+J85/'Key Dashboards-July 2017'!$N$37</f>
        <v>5.9117519540636936</v>
      </c>
    </row>
    <row r="87" spans="1:11">
      <c r="B87" s="197" t="s">
        <v>202</v>
      </c>
      <c r="C87" s="89">
        <f>+C85/'Key Dashboards-July 2017'!$N$30</f>
        <v>4664.9946153846158</v>
      </c>
      <c r="D87" s="89">
        <f>+D85/'Key Dashboards-July 2017'!$N$30</f>
        <v>3473.7648076923074</v>
      </c>
      <c r="E87" s="89">
        <f>+E85/'Key Dashboards-July 2017'!$N$30</f>
        <v>3417.8815384615382</v>
      </c>
      <c r="F87" s="89">
        <f>+F85/'Key Dashboards-July 2017'!$N$30</f>
        <v>4145.7765384615386</v>
      </c>
      <c r="G87" s="89">
        <f>+G85/'Key Dashboards-July 2017'!$N$30</f>
        <v>3609.0626923076925</v>
      </c>
      <c r="H87" s="89">
        <f>+H85/'Key Dashboards-July 2017'!$N$30</f>
        <v>3991.0932692307692</v>
      </c>
      <c r="I87" s="89">
        <f>+I85/'Key Dashboards-July 2017'!$N$30</f>
        <v>4601.2440384615384</v>
      </c>
      <c r="J87" s="89">
        <f>+J85/'Key Dashboards-July 2017'!$N$30</f>
        <v>4494.4094230769233</v>
      </c>
    </row>
    <row r="88" spans="1:11" ht="13.5" thickBot="1">
      <c r="B88" s="244"/>
      <c r="C88" s="212"/>
      <c r="D88" s="212"/>
      <c r="E88" s="212"/>
      <c r="F88" s="212"/>
      <c r="G88" s="212"/>
      <c r="H88" s="212"/>
      <c r="I88" s="212"/>
      <c r="J88" s="212"/>
      <c r="K88" s="212"/>
    </row>
    <row r="89" spans="1:11" ht="13.5" thickBot="1">
      <c r="B89" s="244"/>
      <c r="C89" s="201" t="s">
        <v>44</v>
      </c>
      <c r="D89" s="201" t="s">
        <v>45</v>
      </c>
      <c r="E89" s="201" t="s">
        <v>46</v>
      </c>
      <c r="F89" s="201" t="s">
        <v>47</v>
      </c>
      <c r="G89" s="201" t="s">
        <v>48</v>
      </c>
      <c r="H89" s="201" t="s">
        <v>49</v>
      </c>
      <c r="I89" s="201" t="s">
        <v>50</v>
      </c>
      <c r="J89" s="201" t="s">
        <v>51</v>
      </c>
      <c r="K89" s="212"/>
    </row>
    <row r="90" spans="1:11" ht="13.5" thickBot="1">
      <c r="B90" s="183" t="s">
        <v>226</v>
      </c>
      <c r="C90" s="185" t="s">
        <v>170</v>
      </c>
      <c r="D90" s="185" t="s">
        <v>170</v>
      </c>
      <c r="E90" s="185" t="s">
        <v>170</v>
      </c>
      <c r="F90" s="185" t="s">
        <v>170</v>
      </c>
      <c r="G90" s="185" t="s">
        <v>170</v>
      </c>
      <c r="H90" s="185" t="s">
        <v>170</v>
      </c>
      <c r="I90" s="185" t="s">
        <v>170</v>
      </c>
      <c r="J90" s="185" t="s">
        <v>170</v>
      </c>
      <c r="K90" s="212"/>
    </row>
    <row r="91" spans="1:11" ht="13.5" thickTop="1">
      <c r="B91" s="197" t="s">
        <v>200</v>
      </c>
      <c r="C91" s="73">
        <f>+'Balance Sheet'!D9</f>
        <v>242579.72</v>
      </c>
      <c r="D91" s="73">
        <f>+'Balance Sheet'!G9</f>
        <v>361271.54</v>
      </c>
      <c r="E91" s="73">
        <f>+'Balance Sheet'!J9</f>
        <v>533189.52</v>
      </c>
      <c r="F91" s="73">
        <f>+'Balance Sheet'!M9</f>
        <v>862321.52</v>
      </c>
      <c r="G91" s="73">
        <f>+'Balance Sheet'!P9</f>
        <v>938356.3</v>
      </c>
      <c r="H91" s="73">
        <f>+'Balance Sheet'!S9</f>
        <v>1245221.1000000001</v>
      </c>
      <c r="I91" s="73">
        <f>+'Balance Sheet'!V9</f>
        <v>1674852.83</v>
      </c>
      <c r="J91" s="73">
        <f>+'Balance Sheet'!Y9</f>
        <v>1869674.32</v>
      </c>
      <c r="K91" s="212"/>
    </row>
    <row r="92" spans="1:11">
      <c r="B92" s="197" t="s">
        <v>201</v>
      </c>
      <c r="C92" s="88">
        <f>+C91/'Key Dashboards-July 2017'!$N$37</f>
        <v>6.1361323451293854</v>
      </c>
      <c r="D92" s="88">
        <f>+D91/'Key Dashboards-July 2017'!$N$37</f>
        <v>9.1384802570004808</v>
      </c>
      <c r="E92" s="88">
        <f>+E91/'Key Dashboards-July 2017'!$N$37</f>
        <v>13.487201072521691</v>
      </c>
      <c r="F92" s="88">
        <f>+F91/'Key Dashboards-July 2017'!$N$37</f>
        <v>21.812701287531937</v>
      </c>
      <c r="G92" s="88">
        <f>+G91/'Key Dashboards-July 2017'!$N$37</f>
        <v>23.736025598866771</v>
      </c>
      <c r="H92" s="88">
        <f>+H91/'Key Dashboards-July 2017'!$N$37</f>
        <v>31.498269799913999</v>
      </c>
      <c r="I92" s="88">
        <f>+I91/'Key Dashboards-July 2017'!$N$37</f>
        <v>42.365943136114133</v>
      </c>
      <c r="J92" s="88">
        <f>+J91/'Key Dashboards-July 2017'!$N$37</f>
        <v>47.294015632509549</v>
      </c>
      <c r="K92" s="212"/>
    </row>
    <row r="93" spans="1:11">
      <c r="B93" s="197" t="s">
        <v>202</v>
      </c>
      <c r="C93" s="89">
        <f>+C91/'Key Dashboards-July 2017'!$N$30</f>
        <v>4664.9946153846158</v>
      </c>
      <c r="D93" s="89">
        <f>+D91/'Key Dashboards-July 2017'!$N$30</f>
        <v>6947.5296153846148</v>
      </c>
      <c r="E93" s="89">
        <f>+E91/'Key Dashboards-July 2017'!$N$30</f>
        <v>10253.644615384615</v>
      </c>
      <c r="F93" s="89">
        <f>+F91/'Key Dashboards-July 2017'!$N$30</f>
        <v>16583.106153846154</v>
      </c>
      <c r="G93" s="89">
        <f>+G91/'Key Dashboards-July 2017'!$N$30</f>
        <v>18045.313461538462</v>
      </c>
      <c r="H93" s="89">
        <f>+H91/'Key Dashboards-July 2017'!$N$30</f>
        <v>23946.559615384616</v>
      </c>
      <c r="I93" s="89">
        <f>+I91/'Key Dashboards-July 2017'!$N$30</f>
        <v>32208.70826923077</v>
      </c>
      <c r="J93" s="89">
        <f>+J91/'Key Dashboards-July 2017'!$N$30</f>
        <v>35955.275384615386</v>
      </c>
      <c r="K93" s="212"/>
    </row>
    <row r="94" spans="1:11">
      <c r="B94" s="244"/>
      <c r="C94" s="212"/>
      <c r="D94" s="212"/>
      <c r="E94" s="212"/>
      <c r="F94" s="212"/>
      <c r="G94" s="212"/>
      <c r="H94" s="212"/>
      <c r="I94" s="212"/>
      <c r="J94" s="212"/>
      <c r="K94" s="212"/>
    </row>
    <row r="95" spans="1:11" s="29" customFormat="1" ht="6.95" customHeight="1" thickBot="1">
      <c r="A95" s="4"/>
      <c r="B95" s="4"/>
      <c r="C95" s="4"/>
      <c r="D95" s="3"/>
      <c r="E95" s="3"/>
      <c r="F95" s="4"/>
      <c r="G95" s="4"/>
      <c r="H95" s="4"/>
      <c r="I95" s="4"/>
      <c r="J95" s="4"/>
      <c r="K95" s="4"/>
    </row>
    <row r="96" spans="1:11" ht="13.5" thickBot="1">
      <c r="B96" s="92"/>
      <c r="C96" s="201" t="s">
        <v>44</v>
      </c>
      <c r="D96" s="201" t="s">
        <v>45</v>
      </c>
      <c r="E96" s="201" t="s">
        <v>46</v>
      </c>
      <c r="F96" s="201" t="s">
        <v>47</v>
      </c>
      <c r="G96" s="201" t="s">
        <v>48</v>
      </c>
      <c r="H96" s="201" t="s">
        <v>49</v>
      </c>
      <c r="I96" s="201" t="s">
        <v>50</v>
      </c>
      <c r="J96" s="201" t="s">
        <v>51</v>
      </c>
    </row>
    <row r="97" spans="2:11" ht="13.5" thickBot="1">
      <c r="B97" s="92"/>
      <c r="C97" s="185" t="s">
        <v>197</v>
      </c>
      <c r="D97" s="185" t="s">
        <v>197</v>
      </c>
      <c r="E97" s="185" t="s">
        <v>197</v>
      </c>
      <c r="F97" s="185" t="s">
        <v>197</v>
      </c>
      <c r="G97" s="185" t="s">
        <v>197</v>
      </c>
      <c r="H97" s="185" t="s">
        <v>197</v>
      </c>
      <c r="I97" s="185" t="s">
        <v>197</v>
      </c>
      <c r="J97" s="185" t="s">
        <v>197</v>
      </c>
    </row>
    <row r="98" spans="2:11">
      <c r="B98" s="198" t="s">
        <v>204</v>
      </c>
      <c r="C98" s="165">
        <f t="shared" ref="C98:C106" si="34">+C9/$C$7</f>
        <v>3.4348538265036116E-2</v>
      </c>
      <c r="D98" s="165">
        <f t="shared" ref="D98:D106" si="35">+D9/$D$7</f>
        <v>2.5337279907010415E-2</v>
      </c>
      <c r="E98" s="165">
        <f t="shared" ref="E98:E106" si="36">+E9/$E$7</f>
        <v>2.5800990826158238E-2</v>
      </c>
      <c r="F98" s="165">
        <f t="shared" ref="F98:F106" si="37">+F9/$F$7</f>
        <v>3.6649567939676025E-2</v>
      </c>
      <c r="G98" s="165">
        <f t="shared" ref="G98:G106" si="38">+G9/$G$7</f>
        <v>2.4979847838395932E-2</v>
      </c>
      <c r="H98" s="165">
        <f t="shared" ref="H98:H106" si="39">+H9/$H$7</f>
        <v>2.2470024419466064E-2</v>
      </c>
      <c r="I98" s="165">
        <f t="shared" ref="I98:I106" si="40">+I9/$I$7</f>
        <v>2.5763777240075107E-2</v>
      </c>
      <c r="J98" s="165">
        <f t="shared" ref="J98:J106" si="41">+J9/$J$7</f>
        <v>4.9238980247091974E-2</v>
      </c>
    </row>
    <row r="99" spans="2:11">
      <c r="B99" s="197" t="s">
        <v>205</v>
      </c>
      <c r="C99" s="165">
        <f t="shared" si="34"/>
        <v>1.536473162999449E-2</v>
      </c>
      <c r="D99" s="165">
        <f t="shared" si="35"/>
        <v>2.4751717531714103E-2</v>
      </c>
      <c r="E99" s="165">
        <f t="shared" si="36"/>
        <v>1.4288071525960728E-2</v>
      </c>
      <c r="F99" s="165">
        <f t="shared" si="37"/>
        <v>1.2187235980707352E-2</v>
      </c>
      <c r="G99" s="165">
        <f t="shared" si="38"/>
        <v>4.2812974200791047E-2</v>
      </c>
      <c r="H99" s="165">
        <f t="shared" si="39"/>
        <v>1.6597107263749539E-2</v>
      </c>
      <c r="I99" s="165">
        <f t="shared" si="40"/>
        <v>2.9125313138285959E-2</v>
      </c>
      <c r="J99" s="165">
        <f t="shared" si="41"/>
        <v>2.0775218420254704E-2</v>
      </c>
    </row>
    <row r="100" spans="2:11">
      <c r="B100" s="197" t="s">
        <v>206</v>
      </c>
      <c r="C100" s="165">
        <f t="shared" si="34"/>
        <v>7.7443842101841539E-3</v>
      </c>
      <c r="D100" s="165">
        <f t="shared" si="35"/>
        <v>6.5679799284040045E-3</v>
      </c>
      <c r="E100" s="165">
        <f t="shared" si="36"/>
        <v>6.3833977311097663E-3</v>
      </c>
      <c r="F100" s="165">
        <f t="shared" si="37"/>
        <v>7.692805115063075E-3</v>
      </c>
      <c r="G100" s="165">
        <f t="shared" si="38"/>
        <v>1.5938570075132465E-2</v>
      </c>
      <c r="H100" s="165">
        <f t="shared" si="39"/>
        <v>5.5311665757160951E-3</v>
      </c>
      <c r="I100" s="165">
        <f t="shared" si="40"/>
        <v>3.0448755206386621E-2</v>
      </c>
      <c r="J100" s="165">
        <f t="shared" si="41"/>
        <v>1.6176966968869513E-2</v>
      </c>
    </row>
    <row r="101" spans="2:11">
      <c r="B101" s="198" t="s">
        <v>207</v>
      </c>
      <c r="C101" s="165">
        <f t="shared" si="34"/>
        <v>2.7426754465408914E-2</v>
      </c>
      <c r="D101" s="165">
        <f t="shared" si="35"/>
        <v>2.5173532153070197E-2</v>
      </c>
      <c r="E101" s="165">
        <f t="shared" si="36"/>
        <v>2.180011795352697E-2</v>
      </c>
      <c r="F101" s="165">
        <f t="shared" si="37"/>
        <v>2.5945895326897041E-2</v>
      </c>
      <c r="G101" s="165">
        <f t="shared" si="38"/>
        <v>2.5438675600869123E-2</v>
      </c>
      <c r="H101" s="165">
        <f t="shared" si="39"/>
        <v>2.3921626013285898E-2</v>
      </c>
      <c r="I101" s="165">
        <f t="shared" si="40"/>
        <v>2.910916814852834E-2</v>
      </c>
      <c r="J101" s="165">
        <f t="shared" si="41"/>
        <v>2.29107395193981E-2</v>
      </c>
    </row>
    <row r="102" spans="2:11">
      <c r="B102" s="197" t="s">
        <v>208</v>
      </c>
      <c r="C102" s="165">
        <f t="shared" si="34"/>
        <v>9.0951303783522695E-3</v>
      </c>
      <c r="D102" s="165">
        <f t="shared" si="35"/>
        <v>9.5929613610782546E-3</v>
      </c>
      <c r="E102" s="165">
        <f t="shared" si="36"/>
        <v>9.7363321247298622E-3</v>
      </c>
      <c r="F102" s="165">
        <f t="shared" si="37"/>
        <v>1.0189813279392522E-2</v>
      </c>
      <c r="G102" s="165">
        <f t="shared" si="38"/>
        <v>9.7340389869818526E-3</v>
      </c>
      <c r="H102" s="165">
        <f t="shared" si="39"/>
        <v>8.3865063904208208E-3</v>
      </c>
      <c r="I102" s="165">
        <f t="shared" si="40"/>
        <v>8.1994193367499104E-3</v>
      </c>
      <c r="J102" s="165">
        <f t="shared" si="41"/>
        <v>8.7433257681974845E-3</v>
      </c>
    </row>
    <row r="103" spans="2:11">
      <c r="B103" s="198" t="s">
        <v>209</v>
      </c>
      <c r="C103" s="165">
        <f t="shared" si="34"/>
        <v>9.3788416112446635E-2</v>
      </c>
      <c r="D103" s="165">
        <f t="shared" si="35"/>
        <v>9.8913619929399621E-2</v>
      </c>
      <c r="E103" s="165">
        <f t="shared" si="36"/>
        <v>0.10039192477094325</v>
      </c>
      <c r="F103" s="165">
        <f t="shared" si="37"/>
        <v>0.10506779709952792</v>
      </c>
      <c r="G103" s="165">
        <f t="shared" si="38"/>
        <v>0.10037413858096345</v>
      </c>
      <c r="H103" s="165">
        <f t="shared" si="39"/>
        <v>9.8737921103682638E-2</v>
      </c>
      <c r="I103" s="165">
        <f t="shared" si="40"/>
        <v>9.8466007394703375E-2</v>
      </c>
      <c r="J103" s="165">
        <f t="shared" si="41"/>
        <v>0.10499772537391484</v>
      </c>
    </row>
    <row r="104" spans="2:11">
      <c r="B104" s="197" t="s">
        <v>210</v>
      </c>
      <c r="C104" s="165">
        <f t="shared" si="34"/>
        <v>7.6270560244258842E-3</v>
      </c>
      <c r="D104" s="165">
        <f t="shared" si="35"/>
        <v>5.3499755752689686E-3</v>
      </c>
      <c r="E104" s="165">
        <f t="shared" si="36"/>
        <v>5.1702308276956859E-3</v>
      </c>
      <c r="F104" s="165">
        <f t="shared" si="37"/>
        <v>1.5822909713336348E-2</v>
      </c>
      <c r="G104" s="165">
        <f t="shared" si="38"/>
        <v>1.3112257173296607E-2</v>
      </c>
      <c r="H104" s="165">
        <f t="shared" si="39"/>
        <v>8.294488801901527E-3</v>
      </c>
      <c r="I104" s="165">
        <f t="shared" si="40"/>
        <v>2.3275908833763438E-2</v>
      </c>
      <c r="J104" s="165">
        <f t="shared" si="41"/>
        <v>2.034344205276158E-3</v>
      </c>
    </row>
    <row r="105" spans="2:11">
      <c r="B105" s="197" t="s">
        <v>211</v>
      </c>
      <c r="C105" s="165">
        <f t="shared" si="34"/>
        <v>1.5324576528986311E-3</v>
      </c>
      <c r="D105" s="165">
        <f t="shared" si="35"/>
        <v>4.3389337236946768E-3</v>
      </c>
      <c r="E105" s="165">
        <f t="shared" si="36"/>
        <v>9.9564100963920842E-3</v>
      </c>
      <c r="F105" s="165">
        <f t="shared" si="37"/>
        <v>1.083786862135066E-3</v>
      </c>
      <c r="G105" s="165">
        <f t="shared" si="38"/>
        <v>2.435872841435675E-3</v>
      </c>
      <c r="H105" s="165">
        <f t="shared" si="39"/>
        <v>2.4677074663813151E-3</v>
      </c>
      <c r="I105" s="165">
        <f t="shared" si="40"/>
        <v>1.2849424771401846E-3</v>
      </c>
      <c r="J105" s="165">
        <f t="shared" si="41"/>
        <v>5.8232334779191759E-4</v>
      </c>
    </row>
    <row r="106" spans="2:11" ht="13.5" thickBot="1">
      <c r="B106" s="199" t="s">
        <v>212</v>
      </c>
      <c r="C106" s="165">
        <f t="shared" si="34"/>
        <v>5.8227840525753832E-2</v>
      </c>
      <c r="D106" s="165">
        <f t="shared" si="35"/>
        <v>5.5238678512360057E-2</v>
      </c>
      <c r="E106" s="165">
        <f t="shared" si="36"/>
        <v>5.6517676290721137E-2</v>
      </c>
      <c r="F106" s="165">
        <f t="shared" si="37"/>
        <v>5.205907608913686E-2</v>
      </c>
      <c r="G106" s="165">
        <f t="shared" si="38"/>
        <v>5.0993930539788679E-2</v>
      </c>
      <c r="H106" s="165">
        <f t="shared" si="39"/>
        <v>5.4076719600914994E-2</v>
      </c>
      <c r="I106" s="165">
        <f t="shared" si="40"/>
        <v>5.3942894624781496E-2</v>
      </c>
      <c r="J106" s="165">
        <f t="shared" si="41"/>
        <v>4.8364939017348819E-2</v>
      </c>
    </row>
    <row r="107" spans="2:11" s="241" customFormat="1" ht="14.25" thickTop="1" thickBot="1">
      <c r="B107" s="199" t="s">
        <v>220</v>
      </c>
      <c r="C107" s="165">
        <f t="shared" ref="C107:J107" si="42">+C129/C7</f>
        <v>0.32851761701290544</v>
      </c>
      <c r="D107" s="165">
        <f t="shared" si="42"/>
        <v>0.31294058745893771</v>
      </c>
      <c r="E107" s="165">
        <f t="shared" si="42"/>
        <v>0.35164807403877585</v>
      </c>
      <c r="F107" s="165">
        <f t="shared" si="42"/>
        <v>0.35615469285388413</v>
      </c>
      <c r="G107" s="165">
        <f t="shared" si="42"/>
        <v>0.35158577341584069</v>
      </c>
      <c r="H107" s="165">
        <f t="shared" si="42"/>
        <v>0.33469809999684974</v>
      </c>
      <c r="I107" s="165">
        <f t="shared" si="42"/>
        <v>0.33813932420748966</v>
      </c>
      <c r="J107" s="165">
        <f t="shared" si="42"/>
        <v>0.36056971172742963</v>
      </c>
      <c r="K107" s="243"/>
    </row>
    <row r="108" spans="2:11" ht="14.25" thickTop="1" thickBot="1">
      <c r="B108" s="69" t="s">
        <v>31</v>
      </c>
      <c r="C108" s="163">
        <f>SUM(C98:C106)</f>
        <v>0.25515530926450092</v>
      </c>
      <c r="D108" s="163">
        <f t="shared" ref="D108:J108" si="43">SUM(D98:D106)</f>
        <v>0.25526467862200031</v>
      </c>
      <c r="E108" s="163">
        <f t="shared" si="43"/>
        <v>0.25004515214723771</v>
      </c>
      <c r="F108" s="163">
        <f t="shared" si="43"/>
        <v>0.26669888740587222</v>
      </c>
      <c r="G108" s="163">
        <f t="shared" si="43"/>
        <v>0.28582030583765483</v>
      </c>
      <c r="H108" s="163">
        <f t="shared" si="43"/>
        <v>0.24048326763551886</v>
      </c>
      <c r="I108" s="163">
        <f t="shared" si="43"/>
        <v>0.29961618640041443</v>
      </c>
      <c r="J108" s="163">
        <f t="shared" si="43"/>
        <v>0.27382456286814355</v>
      </c>
    </row>
    <row r="109" spans="2:11" s="241" customFormat="1" ht="14.25" thickTop="1" thickBot="1">
      <c r="B109" s="242"/>
      <c r="C109" s="243"/>
      <c r="D109" s="243"/>
      <c r="E109" s="243"/>
      <c r="F109" s="243"/>
      <c r="G109" s="243"/>
      <c r="H109" s="243"/>
      <c r="I109" s="243"/>
      <c r="J109" s="243"/>
      <c r="K109" s="243"/>
    </row>
    <row r="110" spans="2:11" s="241" customFormat="1" ht="13.5" thickBot="1">
      <c r="B110" s="92"/>
      <c r="C110" s="201" t="s">
        <v>44</v>
      </c>
      <c r="D110" s="201" t="s">
        <v>45</v>
      </c>
      <c r="E110" s="201" t="s">
        <v>46</v>
      </c>
      <c r="F110" s="201" t="s">
        <v>47</v>
      </c>
      <c r="G110" s="201" t="s">
        <v>48</v>
      </c>
      <c r="H110" s="201" t="s">
        <v>49</v>
      </c>
      <c r="I110" s="201" t="s">
        <v>50</v>
      </c>
      <c r="J110" s="201" t="s">
        <v>51</v>
      </c>
      <c r="K110" s="243"/>
    </row>
    <row r="111" spans="2:11" s="241" customFormat="1" ht="13.5" thickBot="1">
      <c r="B111" s="92"/>
      <c r="C111" s="185" t="s">
        <v>170</v>
      </c>
      <c r="D111" s="185" t="s">
        <v>170</v>
      </c>
      <c r="E111" s="185" t="s">
        <v>170</v>
      </c>
      <c r="F111" s="185" t="s">
        <v>170</v>
      </c>
      <c r="G111" s="185" t="s">
        <v>170</v>
      </c>
      <c r="H111" s="185" t="s">
        <v>170</v>
      </c>
      <c r="I111" s="185" t="s">
        <v>170</v>
      </c>
      <c r="J111" s="185" t="s">
        <v>170</v>
      </c>
      <c r="K111" s="243"/>
    </row>
    <row r="112" spans="2:11" s="241" customFormat="1">
      <c r="B112" s="198" t="s">
        <v>241</v>
      </c>
      <c r="C112" s="165">
        <f t="shared" ref="C112:C120" si="44">+C36/$C$34</f>
        <v>3.4348538265036116E-2</v>
      </c>
      <c r="D112" s="165">
        <f t="shared" ref="D112:D120" si="45">+D36/$D$34</f>
        <v>2.99627431487056E-2</v>
      </c>
      <c r="E112" s="165">
        <f t="shared" ref="E112:E120" si="46">+E36/$E$34</f>
        <v>2.8613869618933946E-2</v>
      </c>
      <c r="F112" s="165">
        <f t="shared" ref="F112:F120" si="47">+F36/$F$34</f>
        <v>3.051398504484399E-2</v>
      </c>
      <c r="G112" s="165">
        <f t="shared" ref="G112:G120" si="48">+G36/$G$34</f>
        <v>2.9415971293378845E-2</v>
      </c>
      <c r="H112" s="165">
        <f t="shared" ref="H112:H120" si="49">+H36/$H$34</f>
        <v>2.8250148265721302E-2</v>
      </c>
      <c r="I112" s="165">
        <f t="shared" ref="I112:I120" si="50">+I36/$I$34</f>
        <v>2.7885848336640852E-2</v>
      </c>
      <c r="J112" s="165">
        <f t="shared" ref="J112:J120" si="51">+J36/$J$34</f>
        <v>3.0465412852611763E-2</v>
      </c>
      <c r="K112" s="243"/>
    </row>
    <row r="113" spans="1:11" s="241" customFormat="1">
      <c r="B113" s="197" t="s">
        <v>242</v>
      </c>
      <c r="C113" s="165">
        <f t="shared" si="44"/>
        <v>1.536473162999449E-2</v>
      </c>
      <c r="D113" s="165">
        <f t="shared" si="45"/>
        <v>1.9933393995351999E-2</v>
      </c>
      <c r="E113" s="165">
        <f t="shared" si="46"/>
        <v>1.8103677698990059E-2</v>
      </c>
      <c r="F113" s="165">
        <f t="shared" si="47"/>
        <v>1.6704680159922596E-2</v>
      </c>
      <c r="G113" s="165">
        <f t="shared" si="48"/>
        <v>2.1884758790927217E-2</v>
      </c>
      <c r="H113" s="165">
        <f t="shared" si="49"/>
        <v>2.0997267708067875E-2</v>
      </c>
      <c r="I113" s="165">
        <f t="shared" si="50"/>
        <v>2.2188178615269109E-2</v>
      </c>
      <c r="J113" s="165">
        <f t="shared" si="51"/>
        <v>2.201748599758549E-2</v>
      </c>
      <c r="K113" s="243"/>
    </row>
    <row r="114" spans="1:11" s="241" customFormat="1">
      <c r="B114" s="197" t="s">
        <v>243</v>
      </c>
      <c r="C114" s="165">
        <f t="shared" si="44"/>
        <v>7.7443842101841539E-3</v>
      </c>
      <c r="D114" s="165">
        <f t="shared" si="45"/>
        <v>7.1718262000959728E-3</v>
      </c>
      <c r="E114" s="165">
        <f t="shared" si="46"/>
        <v>6.9162871363770305E-3</v>
      </c>
      <c r="F114" s="165">
        <f t="shared" si="47"/>
        <v>7.0999020172380113E-3</v>
      </c>
      <c r="G114" s="165">
        <f t="shared" si="48"/>
        <v>8.8535591294787754E-3</v>
      </c>
      <c r="H114" s="165">
        <f t="shared" si="49"/>
        <v>8.2959214428673673E-3</v>
      </c>
      <c r="I114" s="165">
        <f t="shared" si="50"/>
        <v>1.1541726548275464E-2</v>
      </c>
      <c r="J114" s="165">
        <f t="shared" si="51"/>
        <v>1.2101686640411001E-2</v>
      </c>
      <c r="K114" s="243"/>
    </row>
    <row r="115" spans="1:11" s="241" customFormat="1">
      <c r="B115" s="198" t="s">
        <v>244</v>
      </c>
      <c r="C115" s="165">
        <f t="shared" si="44"/>
        <v>2.7426754465408914E-2</v>
      </c>
      <c r="D115" s="165">
        <f t="shared" si="45"/>
        <v>2.633010724691465E-2</v>
      </c>
      <c r="E115" s="165">
        <f t="shared" si="46"/>
        <v>2.4861883726044587E-2</v>
      </c>
      <c r="F115" s="165">
        <f t="shared" si="47"/>
        <v>2.511820832689831E-2</v>
      </c>
      <c r="G115" s="165">
        <f t="shared" si="48"/>
        <v>2.5181791404185326E-2</v>
      </c>
      <c r="H115" s="165">
        <f t="shared" si="49"/>
        <v>2.4970282468393525E-2</v>
      </c>
      <c r="I115" s="165">
        <f t="shared" si="50"/>
        <v>2.5576706748677028E-2</v>
      </c>
      <c r="J115" s="165">
        <f t="shared" si="51"/>
        <v>2.5254644650515988E-2</v>
      </c>
      <c r="K115" s="243"/>
    </row>
    <row r="116" spans="1:11" s="241" customFormat="1">
      <c r="B116" s="197" t="s">
        <v>245</v>
      </c>
      <c r="C116" s="165">
        <f t="shared" si="44"/>
        <v>9.0951303783522695E-3</v>
      </c>
      <c r="D116" s="165">
        <f t="shared" si="45"/>
        <v>9.3374255835333587E-3</v>
      </c>
      <c r="E116" s="165">
        <f t="shared" si="46"/>
        <v>9.4667159479208743E-3</v>
      </c>
      <c r="F116" s="165">
        <f t="shared" si="47"/>
        <v>9.6376990210928857E-3</v>
      </c>
      <c r="G116" s="165">
        <f t="shared" si="48"/>
        <v>9.6568135828421896E-3</v>
      </c>
      <c r="H116" s="165">
        <f t="shared" si="49"/>
        <v>9.4436024247370326E-3</v>
      </c>
      <c r="I116" s="165">
        <f t="shared" si="50"/>
        <v>9.2613062967490528E-3</v>
      </c>
      <c r="J116" s="165">
        <f t="shared" si="51"/>
        <v>9.1987316731753782E-3</v>
      </c>
      <c r="K116" s="243"/>
    </row>
    <row r="117" spans="1:11" s="241" customFormat="1">
      <c r="B117" s="198" t="s">
        <v>246</v>
      </c>
      <c r="C117" s="165">
        <f t="shared" si="44"/>
        <v>9.3788416112446635E-2</v>
      </c>
      <c r="D117" s="165">
        <f t="shared" si="45"/>
        <v>9.6282861724537122E-2</v>
      </c>
      <c r="E117" s="165">
        <f t="shared" si="46"/>
        <v>9.7614658031931895E-2</v>
      </c>
      <c r="F117" s="165">
        <f t="shared" si="47"/>
        <v>9.9377021917250591E-2</v>
      </c>
      <c r="G117" s="165">
        <f t="shared" si="48"/>
        <v>9.9574857237866812E-2</v>
      </c>
      <c r="H117" s="165">
        <f t="shared" si="49"/>
        <v>9.9434384033043541E-2</v>
      </c>
      <c r="I117" s="165">
        <f t="shared" si="50"/>
        <v>9.9292498716237784E-2</v>
      </c>
      <c r="J117" s="165">
        <f t="shared" si="51"/>
        <v>9.9981718466456815E-2</v>
      </c>
      <c r="K117" s="243"/>
    </row>
    <row r="118" spans="1:11" s="241" customFormat="1">
      <c r="B118" s="197" t="s">
        <v>247</v>
      </c>
      <c r="C118" s="165">
        <f t="shared" si="44"/>
        <v>7.6270560244258842E-3</v>
      </c>
      <c r="D118" s="165">
        <f t="shared" si="45"/>
        <v>6.518797009245219E-3</v>
      </c>
      <c r="E118" s="165">
        <f t="shared" si="46"/>
        <v>6.0817106368577373E-3</v>
      </c>
      <c r="F118" s="165">
        <f t="shared" si="47"/>
        <v>8.385107540683813E-3</v>
      </c>
      <c r="G118" s="165">
        <f t="shared" si="48"/>
        <v>9.3230089891326567E-3</v>
      </c>
      <c r="H118" s="165">
        <f t="shared" si="49"/>
        <v>9.1503798947196111E-3</v>
      </c>
      <c r="I118" s="165">
        <f t="shared" si="50"/>
        <v>1.1220034478705197E-2</v>
      </c>
      <c r="J118" s="165">
        <f t="shared" si="51"/>
        <v>1.0110357416651393E-2</v>
      </c>
      <c r="K118" s="243"/>
    </row>
    <row r="119" spans="1:11" s="241" customFormat="1">
      <c r="B119" s="197" t="s">
        <v>248</v>
      </c>
      <c r="C119" s="165">
        <f t="shared" si="44"/>
        <v>1.5324576528986311E-3</v>
      </c>
      <c r="D119" s="165">
        <f t="shared" si="45"/>
        <v>2.8983744379204833E-3</v>
      </c>
      <c r="E119" s="165">
        <f t="shared" si="46"/>
        <v>5.1859679163496599E-3</v>
      </c>
      <c r="F119" s="165">
        <f t="shared" si="47"/>
        <v>4.2159691446350348E-3</v>
      </c>
      <c r="G119" s="165">
        <f t="shared" si="48"/>
        <v>3.8627848727366405E-3</v>
      </c>
      <c r="H119" s="165">
        <f t="shared" si="49"/>
        <v>3.6286320070125751E-3</v>
      </c>
      <c r="I119" s="165">
        <f t="shared" si="50"/>
        <v>3.2852375897223329E-3</v>
      </c>
      <c r="J119" s="165">
        <f t="shared" si="51"/>
        <v>2.9587121087092379E-3</v>
      </c>
      <c r="K119" s="243"/>
    </row>
    <row r="120" spans="1:11" s="241" customFormat="1" ht="13.5" thickBot="1">
      <c r="B120" s="199" t="s">
        <v>249</v>
      </c>
      <c r="C120" s="165">
        <f t="shared" si="44"/>
        <v>5.8227840525753832E-2</v>
      </c>
      <c r="D120" s="165">
        <f t="shared" si="45"/>
        <v>5.6773010174719994E-2</v>
      </c>
      <c r="E120" s="165">
        <f t="shared" si="46"/>
        <v>5.6690253419707473E-2</v>
      </c>
      <c r="F120" s="165">
        <f t="shared" si="47"/>
        <v>5.559516857023921E-2</v>
      </c>
      <c r="G120" s="165">
        <f t="shared" si="48"/>
        <v>5.4682248914883991E-2</v>
      </c>
      <c r="H120" s="165">
        <f t="shared" si="49"/>
        <v>5.4580615540635459E-2</v>
      </c>
      <c r="I120" s="165">
        <f t="shared" si="50"/>
        <v>5.4487177480900061E-2</v>
      </c>
      <c r="J120" s="165">
        <f t="shared" si="51"/>
        <v>5.3747580630886714E-2</v>
      </c>
      <c r="K120" s="243"/>
    </row>
    <row r="121" spans="1:11" s="241" customFormat="1" ht="14.25" thickTop="1" thickBot="1">
      <c r="B121" s="199" t="s">
        <v>238</v>
      </c>
      <c r="C121" s="165">
        <f t="shared" ref="C121:J121" si="52">+C140/C7</f>
        <v>0.32851761701290544</v>
      </c>
      <c r="D121" s="165">
        <f t="shared" si="52"/>
        <v>0.65941052539207456</v>
      </c>
      <c r="E121" s="165">
        <f t="shared" si="52"/>
        <v>1.0209137616718815</v>
      </c>
      <c r="F121" s="165">
        <f t="shared" si="52"/>
        <v>1.4246187173478457</v>
      </c>
      <c r="G121" s="165">
        <f t="shared" si="52"/>
        <v>1.7125629758278398</v>
      </c>
      <c r="H121" s="165">
        <f t="shared" si="52"/>
        <v>2.0193451355671606</v>
      </c>
      <c r="I121" s="165">
        <f t="shared" si="52"/>
        <v>2.3124366992209273</v>
      </c>
      <c r="J121" s="165">
        <f t="shared" si="52"/>
        <v>2.8264013211689401</v>
      </c>
      <c r="K121" s="243"/>
    </row>
    <row r="122" spans="1:11" s="241" customFormat="1" ht="14.25" thickTop="1" thickBot="1">
      <c r="B122" s="69" t="s">
        <v>250</v>
      </c>
      <c r="C122" s="163">
        <f>SUM(C112:C121)</f>
        <v>0.5836729262774063</v>
      </c>
      <c r="D122" s="163">
        <f t="shared" ref="D122:J122" si="53">SUM(D112:D120)</f>
        <v>0.2552085395210244</v>
      </c>
      <c r="E122" s="163">
        <f t="shared" si="53"/>
        <v>0.25353502413311324</v>
      </c>
      <c r="F122" s="163">
        <f t="shared" si="53"/>
        <v>0.25664774174280447</v>
      </c>
      <c r="G122" s="163">
        <f t="shared" si="53"/>
        <v>0.26243579421543245</v>
      </c>
      <c r="H122" s="163">
        <f t="shared" si="53"/>
        <v>0.25875123378519832</v>
      </c>
      <c r="I122" s="163">
        <f t="shared" si="53"/>
        <v>0.26473871481117689</v>
      </c>
      <c r="J122" s="163">
        <f t="shared" si="53"/>
        <v>0.26583633043700378</v>
      </c>
      <c r="K122" s="243"/>
    </row>
    <row r="123" spans="1:11" s="241" customFormat="1" ht="13.5" thickTop="1">
      <c r="B123" s="242"/>
      <c r="C123" s="243"/>
      <c r="D123" s="243"/>
      <c r="E123" s="243"/>
      <c r="F123" s="243"/>
      <c r="G123" s="243"/>
      <c r="H123" s="243"/>
      <c r="I123" s="243"/>
      <c r="J123" s="243"/>
      <c r="K123" s="243"/>
    </row>
    <row r="124" spans="1:11" s="29" customFormat="1" ht="6.95" customHeight="1" thickBot="1">
      <c r="A124" s="4"/>
      <c r="B124" s="4"/>
      <c r="C124" s="4"/>
      <c r="D124" s="3"/>
      <c r="E124" s="3"/>
      <c r="F124" s="4"/>
      <c r="G124" s="4"/>
      <c r="H124" s="4"/>
      <c r="I124" s="4"/>
      <c r="J124" s="4"/>
      <c r="K124" s="4"/>
    </row>
    <row r="125" spans="1:11" ht="13.5" thickBot="1">
      <c r="B125" s="671" t="s">
        <v>197</v>
      </c>
      <c r="C125" s="672"/>
      <c r="D125" s="672"/>
      <c r="E125" s="672"/>
      <c r="F125" s="672"/>
      <c r="G125" s="672"/>
      <c r="H125" s="672"/>
      <c r="I125" s="672"/>
      <c r="J125" s="673"/>
      <c r="K125" s="91"/>
    </row>
    <row r="126" spans="1:11" ht="14.25" thickTop="1" thickBot="1">
      <c r="B126" s="69" t="s">
        <v>226</v>
      </c>
      <c r="C126" s="201" t="s">
        <v>44</v>
      </c>
      <c r="D126" s="201" t="s">
        <v>45</v>
      </c>
      <c r="E126" s="201" t="s">
        <v>46</v>
      </c>
      <c r="F126" s="201" t="s">
        <v>47</v>
      </c>
      <c r="G126" s="201" t="s">
        <v>48</v>
      </c>
      <c r="H126" s="201" t="s">
        <v>49</v>
      </c>
      <c r="I126" s="201" t="s">
        <v>50</v>
      </c>
      <c r="J126" s="201" t="s">
        <v>51</v>
      </c>
      <c r="K126" s="91"/>
    </row>
    <row r="127" spans="1:11" ht="14.25" thickTop="1" thickBot="1">
      <c r="B127" s="186" t="s">
        <v>193</v>
      </c>
      <c r="C127" s="73">
        <f t="shared" ref="C127:J127" si="54">+C85</f>
        <v>242579.72</v>
      </c>
      <c r="D127" s="73">
        <f t="shared" si="54"/>
        <v>180635.77</v>
      </c>
      <c r="E127" s="73">
        <f t="shared" si="54"/>
        <v>177729.84</v>
      </c>
      <c r="F127" s="73">
        <f t="shared" si="54"/>
        <v>215580.38</v>
      </c>
      <c r="G127" s="73">
        <f t="shared" si="54"/>
        <v>187671.26</v>
      </c>
      <c r="H127" s="73">
        <f t="shared" si="54"/>
        <v>207536.85</v>
      </c>
      <c r="I127" s="73">
        <f t="shared" si="54"/>
        <v>239264.69</v>
      </c>
      <c r="J127" s="73">
        <f t="shared" si="54"/>
        <v>233709.29</v>
      </c>
      <c r="K127" s="91"/>
    </row>
    <row r="128" spans="1:11" ht="14.25" thickTop="1" thickBot="1">
      <c r="B128" s="187" t="s">
        <v>134</v>
      </c>
      <c r="C128" s="84">
        <f t="shared" ref="C128:J128" si="55">+C22</f>
        <v>84700.23</v>
      </c>
      <c r="D128" s="84">
        <f t="shared" si="55"/>
        <v>81161.189999999973</v>
      </c>
      <c r="E128" s="84">
        <f t="shared" si="55"/>
        <v>75000.85000000002</v>
      </c>
      <c r="F128" s="84">
        <f t="shared" si="55"/>
        <v>67412.959999999992</v>
      </c>
      <c r="G128" s="84">
        <f t="shared" si="55"/>
        <v>68657.400000000009</v>
      </c>
      <c r="H128" s="84">
        <f t="shared" si="55"/>
        <v>68959.500000000015</v>
      </c>
      <c r="I128" s="84">
        <f t="shared" si="55"/>
        <v>71378.589999999982</v>
      </c>
      <c r="J128" s="84">
        <f t="shared" si="55"/>
        <v>60968.67</v>
      </c>
    </row>
    <row r="129" spans="2:11" ht="14.25" thickTop="1" thickBot="1">
      <c r="B129" s="187" t="s">
        <v>215</v>
      </c>
      <c r="C129" s="84">
        <f t="shared" ref="C129:J129" si="56">+C20</f>
        <v>68067.73</v>
      </c>
      <c r="D129" s="84">
        <f t="shared" si="56"/>
        <v>61480.53</v>
      </c>
      <c r="E129" s="84">
        <f t="shared" si="56"/>
        <v>68067.73</v>
      </c>
      <c r="F129" s="84">
        <f t="shared" si="56"/>
        <v>65872</v>
      </c>
      <c r="G129" s="84">
        <f t="shared" si="56"/>
        <v>68067.73</v>
      </c>
      <c r="H129" s="84">
        <f t="shared" si="56"/>
        <v>65872</v>
      </c>
      <c r="I129" s="84">
        <f t="shared" si="56"/>
        <v>68067.73</v>
      </c>
      <c r="J129" s="84">
        <f t="shared" si="56"/>
        <v>68067.73</v>
      </c>
    </row>
    <row r="130" spans="2:11" ht="14.25" thickTop="1" thickBot="1">
      <c r="B130" s="187" t="s">
        <v>148</v>
      </c>
      <c r="C130" s="84">
        <f t="shared" ref="C130:J130" si="57">+C19</f>
        <v>154329.28</v>
      </c>
      <c r="D130" s="84">
        <f t="shared" si="57"/>
        <v>146311.22999999998</v>
      </c>
      <c r="E130" s="84">
        <f t="shared" si="57"/>
        <v>145167.08000000002</v>
      </c>
      <c r="F130" s="84">
        <f t="shared" si="57"/>
        <v>135626.49</v>
      </c>
      <c r="G130" s="84">
        <f t="shared" si="57"/>
        <v>138266.66</v>
      </c>
      <c r="H130" s="84">
        <f t="shared" si="57"/>
        <v>149480.64000000001</v>
      </c>
      <c r="I130" s="84">
        <f t="shared" si="57"/>
        <v>140987.84999999998</v>
      </c>
      <c r="J130" s="84">
        <f t="shared" si="57"/>
        <v>137086.15</v>
      </c>
    </row>
    <row r="131" spans="2:11" ht="14.25" thickTop="1" thickBot="1">
      <c r="B131" s="187" t="s">
        <v>203</v>
      </c>
      <c r="C131" s="84">
        <f t="shared" ref="C131:J133" si="58">+C4</f>
        <v>11687.5</v>
      </c>
      <c r="D131" s="84">
        <f t="shared" si="58"/>
        <v>11687.5</v>
      </c>
      <c r="E131" s="84">
        <f t="shared" si="58"/>
        <v>11687.5</v>
      </c>
      <c r="F131" s="84">
        <f t="shared" si="58"/>
        <v>11687.5</v>
      </c>
      <c r="G131" s="84">
        <f t="shared" si="58"/>
        <v>11687.5</v>
      </c>
      <c r="H131" s="84">
        <f t="shared" si="58"/>
        <v>11775</v>
      </c>
      <c r="I131" s="84">
        <f t="shared" si="58"/>
        <v>11875</v>
      </c>
      <c r="J131" s="84">
        <f t="shared" si="58"/>
        <v>11875</v>
      </c>
    </row>
    <row r="132" spans="2:11" ht="14.25" thickTop="1" thickBot="1">
      <c r="B132" s="187" t="s">
        <v>144</v>
      </c>
      <c r="C132" s="84">
        <f t="shared" si="58"/>
        <v>169607.54</v>
      </c>
      <c r="D132" s="84">
        <f t="shared" si="58"/>
        <v>170882.84</v>
      </c>
      <c r="E132" s="84">
        <f t="shared" si="58"/>
        <v>166748.79</v>
      </c>
      <c r="F132" s="84">
        <f t="shared" si="58"/>
        <v>152517.18</v>
      </c>
      <c r="G132" s="84">
        <f t="shared" si="58"/>
        <v>171291.81</v>
      </c>
      <c r="H132" s="84">
        <f t="shared" si="58"/>
        <v>174280.94</v>
      </c>
      <c r="I132" s="84">
        <f t="shared" si="58"/>
        <v>172896.37</v>
      </c>
      <c r="J132" s="84">
        <f t="shared" si="58"/>
        <v>158435.38</v>
      </c>
    </row>
    <row r="133" spans="2:11" ht="14.25" thickTop="1" thickBot="1">
      <c r="B133" s="187" t="s">
        <v>145</v>
      </c>
      <c r="C133" s="84">
        <f t="shared" si="58"/>
        <v>25901.55</v>
      </c>
      <c r="D133" s="84">
        <f t="shared" si="58"/>
        <v>13890.369999999999</v>
      </c>
      <c r="E133" s="84">
        <f t="shared" si="58"/>
        <v>15131.470000000001</v>
      </c>
      <c r="F133" s="84">
        <f t="shared" si="58"/>
        <v>20748.66</v>
      </c>
      <c r="G133" s="84">
        <f t="shared" si="58"/>
        <v>10622.75</v>
      </c>
      <c r="H133" s="84">
        <f t="shared" si="58"/>
        <v>10754.26</v>
      </c>
      <c r="I133" s="84">
        <f t="shared" si="58"/>
        <v>16529.47</v>
      </c>
      <c r="J133" s="84">
        <f t="shared" si="58"/>
        <v>18467.900000000001</v>
      </c>
    </row>
    <row r="134" spans="2:11" ht="13.5" thickTop="1">
      <c r="B134" s="264" t="s">
        <v>135</v>
      </c>
      <c r="C134" s="98">
        <f>+SUM(C131:C133)</f>
        <v>207196.59</v>
      </c>
      <c r="D134" s="98">
        <f t="shared" ref="D134" si="59">+SUM(D131:D133)</f>
        <v>196460.71</v>
      </c>
      <c r="E134" s="98">
        <f t="shared" ref="E134" si="60">+SUM(E131:E133)</f>
        <v>193567.76</v>
      </c>
      <c r="F134" s="98">
        <f t="shared" ref="F134" si="61">+SUM(F131:F133)</f>
        <v>184953.34</v>
      </c>
      <c r="G134" s="98">
        <f t="shared" ref="G134" si="62">+SUM(G131:G133)</f>
        <v>193602.06</v>
      </c>
      <c r="H134" s="98">
        <f t="shared" ref="H134" si="63">+SUM(H131:H133)</f>
        <v>196810.2</v>
      </c>
      <c r="I134" s="98">
        <f t="shared" ref="I134" si="64">+SUM(I131:I133)</f>
        <v>201300.84</v>
      </c>
      <c r="J134" s="98">
        <f t="shared" ref="J134" si="65">+SUM(J131:J133)</f>
        <v>188778.28</v>
      </c>
    </row>
    <row r="135" spans="2:11" ht="13.5" thickBot="1">
      <c r="B135" s="92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 ht="13.5" thickBot="1">
      <c r="B136" s="671" t="s">
        <v>170</v>
      </c>
      <c r="C136" s="672"/>
      <c r="D136" s="672"/>
      <c r="E136" s="672"/>
      <c r="F136" s="672"/>
      <c r="G136" s="672"/>
      <c r="H136" s="672"/>
      <c r="I136" s="672"/>
      <c r="J136" s="673"/>
      <c r="K136" s="91"/>
    </row>
    <row r="137" spans="2:11" ht="14.25" thickTop="1" thickBot="1">
      <c r="B137" s="214" t="s">
        <v>226</v>
      </c>
      <c r="C137" s="201" t="s">
        <v>44</v>
      </c>
      <c r="D137" s="201" t="s">
        <v>45</v>
      </c>
      <c r="E137" s="201" t="s">
        <v>46</v>
      </c>
      <c r="F137" s="201" t="s">
        <v>47</v>
      </c>
      <c r="G137" s="201" t="s">
        <v>48</v>
      </c>
      <c r="H137" s="201" t="s">
        <v>49</v>
      </c>
      <c r="I137" s="201" t="s">
        <v>50</v>
      </c>
      <c r="J137" s="201" t="s">
        <v>51</v>
      </c>
      <c r="K137" s="91"/>
    </row>
    <row r="138" spans="2:11" ht="14.25" thickTop="1" thickBot="1">
      <c r="B138" s="186" t="s">
        <v>251</v>
      </c>
      <c r="C138" s="73">
        <f>+C78</f>
        <v>56801.329999999994</v>
      </c>
      <c r="D138" s="73">
        <f t="shared" ref="D138:J138" si="66">+D78</f>
        <v>35229.48000000001</v>
      </c>
      <c r="E138" s="73">
        <f t="shared" si="66"/>
        <v>28517.959999999992</v>
      </c>
      <c r="F138" s="73">
        <f t="shared" si="66"/>
        <v>75664.249999999971</v>
      </c>
      <c r="G138" s="73">
        <f t="shared" si="66"/>
        <v>77698.710000000021</v>
      </c>
      <c r="H138" s="73">
        <f t="shared" si="66"/>
        <v>64749.729999999981</v>
      </c>
      <c r="I138" s="73">
        <f t="shared" si="66"/>
        <v>89387.719999999972</v>
      </c>
      <c r="J138" s="73">
        <f t="shared" si="66"/>
        <v>36753.530000000028</v>
      </c>
      <c r="K138" s="91"/>
    </row>
    <row r="139" spans="2:11" ht="14.25" thickTop="1" thickBot="1">
      <c r="B139" s="187" t="s">
        <v>240</v>
      </c>
      <c r="C139" s="84">
        <f t="shared" ref="C139:J139" si="67">+C49</f>
        <v>84700.23</v>
      </c>
      <c r="D139" s="84">
        <f t="shared" si="67"/>
        <v>165861.42000000001</v>
      </c>
      <c r="E139" s="84">
        <f t="shared" si="67"/>
        <v>240862.27</v>
      </c>
      <c r="F139" s="84">
        <f t="shared" si="67"/>
        <v>308275.2300000001</v>
      </c>
      <c r="G139" s="84">
        <f t="shared" si="67"/>
        <v>376932.63</v>
      </c>
      <c r="H139" s="84">
        <f t="shared" si="67"/>
        <v>445892.13000000012</v>
      </c>
      <c r="I139" s="84">
        <f t="shared" si="67"/>
        <v>517270.71999999991</v>
      </c>
      <c r="J139" s="84">
        <f t="shared" si="67"/>
        <v>578239.3899999999</v>
      </c>
    </row>
    <row r="140" spans="2:11" ht="14.25" thickTop="1" thickBot="1">
      <c r="B140" s="187" t="s">
        <v>252</v>
      </c>
      <c r="C140" s="84">
        <f t="shared" ref="C140:J140" si="68">+C47</f>
        <v>68067.73</v>
      </c>
      <c r="D140" s="84">
        <f t="shared" si="68"/>
        <v>129548.26</v>
      </c>
      <c r="E140" s="84">
        <f t="shared" si="68"/>
        <v>197615.99</v>
      </c>
      <c r="F140" s="84">
        <f t="shared" si="68"/>
        <v>263487.99</v>
      </c>
      <c r="G140" s="84">
        <f t="shared" si="68"/>
        <v>331555.71999999997</v>
      </c>
      <c r="H140" s="84">
        <f t="shared" si="68"/>
        <v>397427.72</v>
      </c>
      <c r="I140" s="84">
        <f t="shared" si="68"/>
        <v>465495.45</v>
      </c>
      <c r="J140" s="84">
        <f t="shared" si="68"/>
        <v>533563.18000000005</v>
      </c>
      <c r="K140" s="91"/>
    </row>
    <row r="141" spans="2:11" ht="14.25" thickTop="1" thickBot="1">
      <c r="B141" s="187" t="s">
        <v>253</v>
      </c>
      <c r="C141" s="84">
        <f t="shared" ref="C141:J141" si="69">+C46</f>
        <v>154329.28</v>
      </c>
      <c r="D141" s="84">
        <f t="shared" si="69"/>
        <v>300640.51</v>
      </c>
      <c r="E141" s="84">
        <f t="shared" si="69"/>
        <v>445807.58999999997</v>
      </c>
      <c r="F141" s="84">
        <f t="shared" si="69"/>
        <v>581434.08000000007</v>
      </c>
      <c r="G141" s="84">
        <f t="shared" si="69"/>
        <v>719700.74</v>
      </c>
      <c r="H141" s="84">
        <f t="shared" si="69"/>
        <v>869181.38000000012</v>
      </c>
      <c r="I141" s="84">
        <f t="shared" si="69"/>
        <v>1010169.23</v>
      </c>
      <c r="J141" s="84">
        <f t="shared" si="69"/>
        <v>1147255.3799999999</v>
      </c>
      <c r="K141" s="91"/>
    </row>
    <row r="142" spans="2:11" ht="14.25" thickTop="1" thickBot="1">
      <c r="B142" s="187" t="s">
        <v>232</v>
      </c>
      <c r="C142" s="84">
        <f t="shared" ref="C142:J144" si="70">+C31</f>
        <v>11687.5</v>
      </c>
      <c r="D142" s="84">
        <f t="shared" si="70"/>
        <v>23375</v>
      </c>
      <c r="E142" s="84">
        <f t="shared" si="70"/>
        <v>35062.5</v>
      </c>
      <c r="F142" s="84">
        <f t="shared" si="70"/>
        <v>46750</v>
      </c>
      <c r="G142" s="84">
        <f t="shared" si="70"/>
        <v>58437.5</v>
      </c>
      <c r="H142" s="84">
        <f t="shared" si="70"/>
        <v>70212.5</v>
      </c>
      <c r="I142" s="84">
        <f t="shared" si="70"/>
        <v>82087.5</v>
      </c>
      <c r="J142" s="84">
        <f t="shared" si="70"/>
        <v>93962.5</v>
      </c>
      <c r="K142" s="91"/>
    </row>
    <row r="143" spans="2:11" ht="14.25" thickTop="1" thickBot="1">
      <c r="B143" s="187" t="s">
        <v>233</v>
      </c>
      <c r="C143" s="84">
        <f t="shared" si="70"/>
        <v>169607.54</v>
      </c>
      <c r="D143" s="84">
        <f t="shared" si="70"/>
        <v>340490.38</v>
      </c>
      <c r="E143" s="84">
        <f t="shared" si="70"/>
        <v>507239.17</v>
      </c>
      <c r="F143" s="84">
        <f t="shared" si="70"/>
        <v>659756.35</v>
      </c>
      <c r="G143" s="84">
        <f t="shared" si="70"/>
        <v>831048.16</v>
      </c>
      <c r="H143" s="84">
        <f t="shared" si="70"/>
        <v>1005329.1</v>
      </c>
      <c r="I143" s="84">
        <f t="shared" si="70"/>
        <v>1178225.47</v>
      </c>
      <c r="J143" s="84">
        <f t="shared" si="70"/>
        <v>1336660.8500000001</v>
      </c>
      <c r="K143" s="91"/>
    </row>
    <row r="144" spans="2:11" ht="14.25" thickTop="1" thickBot="1">
      <c r="B144" s="187" t="s">
        <v>234</v>
      </c>
      <c r="C144" s="84">
        <f t="shared" si="70"/>
        <v>25901.55</v>
      </c>
      <c r="D144" s="84">
        <f t="shared" si="70"/>
        <v>39791.919999999998</v>
      </c>
      <c r="E144" s="84">
        <f t="shared" si="70"/>
        <v>54923.39</v>
      </c>
      <c r="F144" s="84">
        <f t="shared" si="70"/>
        <v>75672.05</v>
      </c>
      <c r="G144" s="84">
        <f t="shared" si="70"/>
        <v>86294.799999999988</v>
      </c>
      <c r="H144" s="84">
        <f t="shared" si="70"/>
        <v>97049.06</v>
      </c>
      <c r="I144" s="84">
        <f t="shared" si="70"/>
        <v>113578.53</v>
      </c>
      <c r="J144" s="84">
        <f t="shared" si="70"/>
        <v>132046.43</v>
      </c>
      <c r="K144" s="91"/>
    </row>
    <row r="145" spans="1:11" ht="14.25" thickTop="1" thickBot="1">
      <c r="B145" s="264" t="s">
        <v>235</v>
      </c>
      <c r="C145" s="98">
        <f>+SUM(C142:C144)</f>
        <v>207196.59</v>
      </c>
      <c r="D145" s="98">
        <f t="shared" ref="D145" si="71">+SUM(D142:D144)</f>
        <v>403657.3</v>
      </c>
      <c r="E145" s="98">
        <f t="shared" ref="E145" si="72">+SUM(E142:E144)</f>
        <v>597225.05999999994</v>
      </c>
      <c r="F145" s="98">
        <f t="shared" ref="F145" si="73">+SUM(F142:F144)</f>
        <v>782178.4</v>
      </c>
      <c r="G145" s="98">
        <f t="shared" ref="G145" si="74">+SUM(G142:G144)</f>
        <v>975780.46</v>
      </c>
      <c r="H145" s="98">
        <f t="shared" ref="H145" si="75">+SUM(H142:H144)</f>
        <v>1172590.6600000001</v>
      </c>
      <c r="I145" s="98">
        <f t="shared" ref="I145" si="76">+SUM(I142:I144)</f>
        <v>1373891.5</v>
      </c>
      <c r="J145" s="98">
        <f t="shared" ref="J145" si="77">+SUM(J142:J144)</f>
        <v>1562669.78</v>
      </c>
      <c r="K145" s="91"/>
    </row>
    <row r="146" spans="1:11">
      <c r="A146" s="213"/>
      <c r="B146" s="215"/>
      <c r="C146" s="212"/>
      <c r="D146" s="212"/>
      <c r="E146" s="212"/>
      <c r="F146" s="212"/>
      <c r="G146" s="212"/>
      <c r="H146" s="212"/>
      <c r="I146" s="212"/>
      <c r="J146" s="212"/>
      <c r="K146" s="91"/>
    </row>
    <row r="147" spans="1:11" s="29" customFormat="1" ht="6.95" customHeight="1" thickBot="1">
      <c r="A147" s="4"/>
      <c r="B147" s="4"/>
      <c r="C147" s="4"/>
      <c r="D147" s="3"/>
      <c r="E147" s="3"/>
      <c r="F147" s="4"/>
      <c r="G147" s="4"/>
      <c r="H147" s="4"/>
      <c r="I147" s="4"/>
      <c r="J147" s="4"/>
      <c r="K147" s="4"/>
    </row>
    <row r="148" spans="1:11" ht="13.5" thickBot="1">
      <c r="B148" s="671" t="s">
        <v>198</v>
      </c>
      <c r="C148" s="672"/>
      <c r="D148" s="672"/>
      <c r="E148" s="672"/>
      <c r="F148" s="672"/>
      <c r="G148" s="672"/>
      <c r="H148" s="672"/>
      <c r="I148" s="672"/>
      <c r="J148" s="673"/>
      <c r="K148" s="91"/>
    </row>
    <row r="149" spans="1:11" ht="13.5" thickBot="1">
      <c r="B149" s="183" t="s">
        <v>226</v>
      </c>
      <c r="C149" s="201" t="s">
        <v>44</v>
      </c>
      <c r="D149" s="201" t="s">
        <v>45</v>
      </c>
      <c r="E149" s="201" t="s">
        <v>46</v>
      </c>
      <c r="F149" s="201" t="s">
        <v>47</v>
      </c>
      <c r="G149" s="201" t="s">
        <v>48</v>
      </c>
      <c r="H149" s="201" t="s">
        <v>49</v>
      </c>
      <c r="I149" s="201" t="s">
        <v>50</v>
      </c>
      <c r="J149" s="201" t="s">
        <v>51</v>
      </c>
      <c r="K149" s="91"/>
    </row>
    <row r="150" spans="1:11" ht="14.25" thickTop="1" thickBot="1">
      <c r="B150" s="186" t="s">
        <v>255</v>
      </c>
      <c r="C150" s="88">
        <f>+C76/'Key Dashboards-July 2017'!$N$37</f>
        <v>1.4368079832039053</v>
      </c>
      <c r="D150" s="88">
        <f>+D76/'Key Dashboards-July 2017'!$N$37</f>
        <v>-0.54566691118812105</v>
      </c>
      <c r="E150" s="88">
        <f>+E76/'Key Dashboards-July 2017'!$N$37</f>
        <v>-0.16977006551488602</v>
      </c>
      <c r="F150" s="88">
        <f>+F76/'Key Dashboards-July 2017'!$N$37</f>
        <v>1.1925806288417273</v>
      </c>
      <c r="G150" s="88">
        <f>+G76/'Key Dashboards-July 2017'!$N$37</f>
        <v>5.1462322616547991E-2</v>
      </c>
      <c r="H150" s="88">
        <f>+H76/'Key Dashboards-July 2017'!$N$37</f>
        <v>-0.32754863025826514</v>
      </c>
      <c r="I150" s="88">
        <f>+I76/'Key Dashboards-July 2017'!$N$37</f>
        <v>0.62322591252877335</v>
      </c>
      <c r="J150" s="88">
        <f>+J76/'Key Dashboards-July 2017'!$N$37</f>
        <v>-1.3313988313560823</v>
      </c>
      <c r="K150" s="91"/>
    </row>
    <row r="151" spans="1:11" ht="14.25" thickTop="1" thickBot="1">
      <c r="B151" s="187" t="s">
        <v>134</v>
      </c>
      <c r="C151" s="88">
        <f>+C128/'Key Dashboards-July 2017'!$N$37</f>
        <v>2.1425196671135507</v>
      </c>
      <c r="D151" s="88">
        <f>+D128/'Key Dashboards-July 2017'!$N$37</f>
        <v>2.0529985075759485</v>
      </c>
      <c r="E151" s="88">
        <f>+E128/'Key Dashboards-July 2017'!$N$37</f>
        <v>1.8971707181342174</v>
      </c>
      <c r="F151" s="88">
        <f>+F128/'Key Dashboards-July 2017'!$N$37</f>
        <v>1.7052325904940175</v>
      </c>
      <c r="G151" s="88">
        <f>+G128/'Key Dashboards-July 2017'!$N$37</f>
        <v>1.7367111021172188</v>
      </c>
      <c r="H151" s="88">
        <f>+H128/'Key Dashboards-July 2017'!$N$37</f>
        <v>1.744352819163737</v>
      </c>
      <c r="I151" s="88">
        <f>+I128/'Key Dashboards-July 2017'!$N$37</f>
        <v>1.8055444818253101</v>
      </c>
      <c r="J151" s="88">
        <f>+J128/'Key Dashboards-July 2017'!$N$37</f>
        <v>1.5422221941163079</v>
      </c>
      <c r="K151" s="91"/>
    </row>
    <row r="152" spans="1:11" ht="14.25" thickTop="1" thickBot="1">
      <c r="B152" s="187" t="s">
        <v>215</v>
      </c>
      <c r="C152" s="88">
        <f>+C129/'Key Dashboards-July 2017'!$N$37</f>
        <v>1.7217952090658437</v>
      </c>
      <c r="D152" s="88">
        <f>+D129/'Key Dashboards-July 2017'!$N$37</f>
        <v>1.5551698580932385</v>
      </c>
      <c r="E152" s="88">
        <f>+E129/'Key Dashboards-July 2017'!$N$37</f>
        <v>1.7217952090658437</v>
      </c>
      <c r="F152" s="88">
        <f>+F129/'Key Dashboards-July 2017'!$N$37</f>
        <v>1.6662535097260516</v>
      </c>
      <c r="G152" s="88">
        <f>+G129/'Key Dashboards-July 2017'!$N$37</f>
        <v>1.7217952090658437</v>
      </c>
      <c r="H152" s="88">
        <f>+H129/'Key Dashboards-July 2017'!$N$37</f>
        <v>1.6662535097260516</v>
      </c>
      <c r="I152" s="88">
        <f>+I129/'Key Dashboards-July 2017'!$N$37</f>
        <v>1.7217952090658437</v>
      </c>
      <c r="J152" s="88">
        <f>+J129/'Key Dashboards-July 2017'!$N$37</f>
        <v>1.7217952090658437</v>
      </c>
      <c r="K152" s="91"/>
    </row>
    <row r="153" spans="1:11" ht="14.25" thickTop="1" thickBot="1">
      <c r="B153" s="187" t="s">
        <v>148</v>
      </c>
      <c r="C153" s="88">
        <f>+C130/'Key Dashboards-July 2017'!$N$37</f>
        <v>3.9038089697214984</v>
      </c>
      <c r="D153" s="88">
        <f>+D130/'Key Dashboards-July 2017'!$N$37</f>
        <v>3.7009898059848729</v>
      </c>
      <c r="E153" s="88">
        <f>+E130/'Key Dashboards-July 2017'!$N$37</f>
        <v>3.672048162294792</v>
      </c>
      <c r="F153" s="88">
        <f>+F130/'Key Dashboards-July 2017'!$N$37</f>
        <v>3.4307158576379226</v>
      </c>
      <c r="G153" s="88">
        <f>+G130/'Key Dashboards-July 2017'!$N$37</f>
        <v>3.4974998102850785</v>
      </c>
      <c r="H153" s="88">
        <f>+H130/'Key Dashboards-July 2017'!$N$37</f>
        <v>3.7811610553208714</v>
      </c>
      <c r="I153" s="88">
        <f>+I130/'Key Dashboards-July 2017'!$N$37</f>
        <v>3.5663331899931698</v>
      </c>
      <c r="J153" s="88">
        <f>+J130/'Key Dashboards-July 2017'!$N$37</f>
        <v>3.4676384286545416</v>
      </c>
      <c r="K153" s="91"/>
    </row>
    <row r="154" spans="1:11" ht="14.25" thickTop="1" thickBot="1">
      <c r="B154" s="187" t="s">
        <v>203</v>
      </c>
      <c r="C154" s="88">
        <f>+C131/'Key Dashboards-July 2017'!$N$33</f>
        <v>4.6749999999999998</v>
      </c>
      <c r="D154" s="88">
        <f>+D131/'Key Dashboards-July 2017'!$N$33</f>
        <v>4.6749999999999998</v>
      </c>
      <c r="E154" s="88">
        <f>+E131/'Key Dashboards-July 2017'!$N$33</f>
        <v>4.6749999999999998</v>
      </c>
      <c r="F154" s="88">
        <f>+F131/'Key Dashboards-July 2017'!$N$33</f>
        <v>4.6749999999999998</v>
      </c>
      <c r="G154" s="88">
        <f>+G131/'Key Dashboards-July 2017'!$N$33</f>
        <v>4.6749999999999998</v>
      </c>
      <c r="H154" s="88">
        <f>+H131/'Key Dashboards-July 2017'!$N$33</f>
        <v>4.71</v>
      </c>
      <c r="I154" s="88">
        <f>+I131/'Key Dashboards-July 2017'!$N$33</f>
        <v>4.75</v>
      </c>
      <c r="J154" s="88">
        <f>+J131/'Key Dashboards-July 2017'!$N$33</f>
        <v>4.75</v>
      </c>
      <c r="K154" s="91"/>
    </row>
    <row r="155" spans="1:11" ht="14.25" thickTop="1" thickBot="1">
      <c r="B155" s="187" t="s">
        <v>144</v>
      </c>
      <c r="C155" s="88">
        <f>+C132/'Key Dashboards-July 2017'!$N$36</f>
        <v>4.5799027894040449</v>
      </c>
      <c r="D155" s="88">
        <f>+D132/'Key Dashboards-July 2017'!$N$36</f>
        <v>4.614339643021089</v>
      </c>
      <c r="E155" s="88">
        <f>+E132/'Key Dashboards-July 2017'!$N$36</f>
        <v>4.5027081251856451</v>
      </c>
      <c r="F155" s="88">
        <f>+F132/'Key Dashboards-July 2017'!$N$36</f>
        <v>4.118412766991602</v>
      </c>
      <c r="G155" s="88">
        <f>+G132/'Key Dashboards-July 2017'!$N$36</f>
        <v>4.625383036751006</v>
      </c>
      <c r="H155" s="88">
        <f>+H132/'Key Dashboards-July 2017'!$N$36</f>
        <v>4.7060983447195746</v>
      </c>
      <c r="I155" s="88">
        <f>+I132/'Key Dashboards-July 2017'!$N$36</f>
        <v>4.6687108794858636</v>
      </c>
      <c r="J155" s="88">
        <f>+J132/'Key Dashboards-July 2017'!$N$36</f>
        <v>4.2782215861528909</v>
      </c>
      <c r="K155" s="91"/>
    </row>
    <row r="156" spans="1:11" ht="14.25" thickTop="1" thickBot="1">
      <c r="B156" s="187" t="s">
        <v>145</v>
      </c>
      <c r="C156" s="88">
        <f>+C133/'Key Dashboards-July 2017'!$N$36</f>
        <v>0.69941808657143623</v>
      </c>
      <c r="D156" s="88">
        <f>+D133/'Key Dashboards-July 2017'!$N$36</f>
        <v>0.37508087381524585</v>
      </c>
      <c r="E156" s="88">
        <f>+E133/'Key Dashboards-July 2017'!$N$36</f>
        <v>0.40859422677071805</v>
      </c>
      <c r="F156" s="88">
        <f>+F133/'Key Dashboards-July 2017'!$N$36</f>
        <v>0.56027488996300601</v>
      </c>
      <c r="G156" s="88">
        <f>+G133/'Key Dashboards-July 2017'!$N$36</f>
        <v>0.28684551616126158</v>
      </c>
      <c r="H156" s="88">
        <f>+H133/'Key Dashboards-July 2017'!$N$36</f>
        <v>0.29039667323738289</v>
      </c>
      <c r="I156" s="88">
        <f>+I133/'Key Dashboards-July 2017'!$N$36</f>
        <v>0.44634434153322716</v>
      </c>
      <c r="J156" s="88">
        <f>+J133/'Key Dashboards-July 2017'!$N$36</f>
        <v>0.49868765695460809</v>
      </c>
      <c r="K156" s="91"/>
    </row>
    <row r="157" spans="1:11" ht="13.5" thickTop="1">
      <c r="B157" s="187" t="s">
        <v>135</v>
      </c>
      <c r="C157" s="88">
        <f>+SUM(C154:C156)</f>
        <v>9.9543208759754815</v>
      </c>
      <c r="D157" s="88">
        <f t="shared" ref="D157:J157" si="78">+SUM(D154:D156)</f>
        <v>9.6644205168363353</v>
      </c>
      <c r="E157" s="88">
        <f t="shared" si="78"/>
        <v>9.5863023519563644</v>
      </c>
      <c r="F157" s="88">
        <f t="shared" si="78"/>
        <v>9.353687656954607</v>
      </c>
      <c r="G157" s="88">
        <f t="shared" si="78"/>
        <v>9.5872285529122667</v>
      </c>
      <c r="H157" s="88">
        <f t="shared" si="78"/>
        <v>9.7064950179569589</v>
      </c>
      <c r="I157" s="88">
        <f t="shared" si="78"/>
        <v>9.8650552210190909</v>
      </c>
      <c r="J157" s="88">
        <f t="shared" si="78"/>
        <v>9.5269092431075002</v>
      </c>
      <c r="K157" s="91"/>
    </row>
    <row r="158" spans="1:11" ht="13.5" thickBot="1">
      <c r="B158" s="92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1:11" ht="13.5" thickBot="1">
      <c r="B159" s="671" t="s">
        <v>218</v>
      </c>
      <c r="C159" s="672"/>
      <c r="D159" s="672"/>
      <c r="E159" s="672"/>
      <c r="F159" s="672"/>
      <c r="G159" s="672"/>
      <c r="H159" s="672"/>
      <c r="I159" s="672"/>
      <c r="J159" s="673"/>
      <c r="K159" s="91"/>
    </row>
    <row r="160" spans="1:11" ht="13.5" thickBot="1">
      <c r="B160" s="183" t="s">
        <v>226</v>
      </c>
      <c r="C160" s="201" t="s">
        <v>44</v>
      </c>
      <c r="D160" s="201" t="s">
        <v>45</v>
      </c>
      <c r="E160" s="201" t="s">
        <v>46</v>
      </c>
      <c r="F160" s="201" t="s">
        <v>47</v>
      </c>
      <c r="G160" s="201" t="s">
        <v>48</v>
      </c>
      <c r="H160" s="201" t="s">
        <v>49</v>
      </c>
      <c r="I160" s="201" t="s">
        <v>50</v>
      </c>
      <c r="J160" s="201" t="s">
        <v>51</v>
      </c>
      <c r="K160" s="91"/>
    </row>
    <row r="161" spans="1:11" ht="14.25" thickTop="1" thickBot="1">
      <c r="B161" s="186" t="s">
        <v>251</v>
      </c>
      <c r="C161" s="88">
        <f>+C78/'Key Dashboards-July 2017'!$N$37</f>
        <v>1.4368079832039053</v>
      </c>
      <c r="D161" s="88">
        <f>+D78/'Key Dashboards-July 2017'!$N$37</f>
        <v>0.89114107201578452</v>
      </c>
      <c r="E161" s="88">
        <f>+E78/'Key Dashboards-July 2017'!$N$37</f>
        <v>0.7213710065008978</v>
      </c>
      <c r="F161" s="88">
        <f>+F78/'Key Dashboards-July 2017'!$N$37</f>
        <v>1.9139516353426245</v>
      </c>
      <c r="G161" s="88">
        <f>+G78/'Key Dashboards-July 2017'!$N$37</f>
        <v>1.9654139579591738</v>
      </c>
      <c r="H161" s="88">
        <f>+H78/'Key Dashboards-July 2017'!$N$37</f>
        <v>1.6378653277009076</v>
      </c>
      <c r="I161" s="88">
        <f>+I78/'Key Dashboards-July 2017'!$N$37</f>
        <v>2.261091240229681</v>
      </c>
      <c r="J161" s="88">
        <f>+J78/'Key Dashboards-July 2017'!$N$37</f>
        <v>0.92969240887359994</v>
      </c>
      <c r="K161" s="91"/>
    </row>
    <row r="162" spans="1:11" ht="14.25" thickTop="1" thickBot="1">
      <c r="B162" s="187" t="s">
        <v>240</v>
      </c>
      <c r="C162" s="196">
        <f>+C139/'Key Dashboards-July 2017'!$N$37</f>
        <v>2.1425196671135507</v>
      </c>
      <c r="D162" s="196">
        <f>+D139/'Key Dashboards-July 2017'!$N$37</f>
        <v>4.1955181746895001</v>
      </c>
      <c r="E162" s="196">
        <f>+E139/'Key Dashboards-July 2017'!$N$37</f>
        <v>6.0926888928237171</v>
      </c>
      <c r="F162" s="196">
        <f>+F139/'Key Dashboards-July 2017'!$N$37</f>
        <v>7.7979214833177366</v>
      </c>
      <c r="G162" s="196">
        <f>+G139/'Key Dashboards-July 2017'!$N$37</f>
        <v>9.5346325854349541</v>
      </c>
      <c r="H162" s="196">
        <f>+H139/'Key Dashboards-July 2017'!$N$37</f>
        <v>11.278985404598693</v>
      </c>
      <c r="I162" s="196">
        <f>+I139/'Key Dashboards-July 2017'!$N$37</f>
        <v>13.084529886423997</v>
      </c>
      <c r="J162" s="196">
        <f>+J139/'Key Dashboards-July 2017'!$N$37</f>
        <v>14.626752080540305</v>
      </c>
      <c r="K162" s="91"/>
    </row>
    <row r="163" spans="1:11" ht="14.25" thickTop="1" thickBot="1">
      <c r="B163" s="187" t="s">
        <v>252</v>
      </c>
      <c r="C163" s="196">
        <f>+C140/'Key Dashboards-July 2017'!$N$37</f>
        <v>1.7217952090658437</v>
      </c>
      <c r="D163" s="196">
        <f>+D140/'Key Dashboards-July 2017'!$N$37</f>
        <v>3.276965067159082</v>
      </c>
      <c r="E163" s="196">
        <f>+E140/'Key Dashboards-July 2017'!$N$37</f>
        <v>4.9987602762249255</v>
      </c>
      <c r="F163" s="196">
        <f>+F140/'Key Dashboards-July 2017'!$N$37</f>
        <v>6.6650137859509773</v>
      </c>
      <c r="G163" s="196">
        <f>+G140/'Key Dashboards-July 2017'!$N$37</f>
        <v>8.3868089950168212</v>
      </c>
      <c r="H163" s="196">
        <f>+H140/'Key Dashboards-July 2017'!$N$37</f>
        <v>10.053062504742872</v>
      </c>
      <c r="I163" s="196">
        <f>+I140/'Key Dashboards-July 2017'!$N$37</f>
        <v>11.774857713808718</v>
      </c>
      <c r="J163" s="196">
        <f>+J140/'Key Dashboards-July 2017'!$N$37</f>
        <v>13.496652922874562</v>
      </c>
      <c r="K163" s="91"/>
    </row>
    <row r="164" spans="1:11" ht="14.25" thickTop="1" thickBot="1">
      <c r="B164" s="187" t="s">
        <v>253</v>
      </c>
      <c r="C164" s="196">
        <f>+C141/'Key Dashboards-July 2017'!$N$37</f>
        <v>3.9038089697214984</v>
      </c>
      <c r="D164" s="196">
        <f>+D141/'Key Dashboards-July 2017'!$N$37</f>
        <v>7.6047987757063717</v>
      </c>
      <c r="E164" s="196">
        <f>+E141/'Key Dashboards-July 2017'!$N$37</f>
        <v>11.276846938001162</v>
      </c>
      <c r="F164" s="196">
        <f>+F141/'Key Dashboards-July 2017'!$N$37</f>
        <v>14.707562795639088</v>
      </c>
      <c r="G164" s="196">
        <f>+G141/'Key Dashboards-July 2017'!$N$37</f>
        <v>18.205062605924166</v>
      </c>
      <c r="H164" s="196">
        <f>+H141/'Key Dashboards-July 2017'!$N$37</f>
        <v>21.986223661245038</v>
      </c>
      <c r="I164" s="196">
        <f>+I141/'Key Dashboards-July 2017'!$N$37</f>
        <v>25.552556851238204</v>
      </c>
      <c r="J164" s="196">
        <f>+J141/'Key Dashboards-July 2017'!$N$37</f>
        <v>29.020195279892746</v>
      </c>
      <c r="K164" s="91"/>
    </row>
    <row r="165" spans="1:11" ht="14.25" thickTop="1" thickBot="1">
      <c r="B165" s="187" t="s">
        <v>232</v>
      </c>
      <c r="C165" s="196">
        <f>+C142/'Key Dashboards-July 2017'!$N$33</f>
        <v>4.6749999999999998</v>
      </c>
      <c r="D165" s="196">
        <f>+D142/'Key Dashboards-July 2017'!$N$33</f>
        <v>9.35</v>
      </c>
      <c r="E165" s="196">
        <f>+E142/'Key Dashboards-July 2017'!$N$33</f>
        <v>14.025</v>
      </c>
      <c r="F165" s="196">
        <f>+F142/'Key Dashboards-July 2017'!$N$33</f>
        <v>18.7</v>
      </c>
      <c r="G165" s="196">
        <f>+G142/'Key Dashboards-July 2017'!$N$33</f>
        <v>23.375</v>
      </c>
      <c r="H165" s="196">
        <f>+H142/'Key Dashboards-July 2017'!$N$33</f>
        <v>28.085000000000001</v>
      </c>
      <c r="I165" s="196">
        <f>+I142/'Key Dashboards-July 2017'!$N$33</f>
        <v>32.835000000000001</v>
      </c>
      <c r="J165" s="196">
        <f>+J142/'Key Dashboards-July 2017'!$N$33</f>
        <v>37.585000000000001</v>
      </c>
      <c r="K165" s="91"/>
    </row>
    <row r="166" spans="1:11" ht="14.25" thickTop="1" thickBot="1">
      <c r="B166" s="187" t="s">
        <v>233</v>
      </c>
      <c r="C166" s="196">
        <f>+C143/'Key Dashboards-July 2017'!$N$36</f>
        <v>4.5799027894040449</v>
      </c>
      <c r="D166" s="196">
        <f>+D143/'Key Dashboards-July 2017'!$N$36</f>
        <v>9.1942424324251348</v>
      </c>
      <c r="E166" s="196">
        <f>+E143/'Key Dashboards-July 2017'!$N$36</f>
        <v>13.69695055761078</v>
      </c>
      <c r="F166" s="196">
        <f>+F143/'Key Dashboards-July 2017'!$N$36</f>
        <v>17.81536332460238</v>
      </c>
      <c r="G166" s="196">
        <f>+G143/'Key Dashboards-July 2017'!$N$36</f>
        <v>22.440746361353387</v>
      </c>
      <c r="H166" s="196">
        <f>+H143/'Key Dashboards-July 2017'!$N$36</f>
        <v>27.146844706072962</v>
      </c>
      <c r="I166" s="196">
        <f>+I143/'Key Dashboards-July 2017'!$N$36</f>
        <v>31.815555585558826</v>
      </c>
      <c r="J166" s="196">
        <f>+J143/'Key Dashboards-July 2017'!$N$36</f>
        <v>36.093777171711722</v>
      </c>
      <c r="K166" s="91"/>
    </row>
    <row r="167" spans="1:11" ht="14.25" thickTop="1" thickBot="1">
      <c r="B167" s="187" t="s">
        <v>234</v>
      </c>
      <c r="C167" s="196">
        <f>+C144/'Key Dashboards-July 2017'!$N$36</f>
        <v>0.69941808657143623</v>
      </c>
      <c r="D167" s="196">
        <f>+D144/'Key Dashboards-July 2017'!$N$36</f>
        <v>1.0744989603866821</v>
      </c>
      <c r="E167" s="196">
        <f>+E144/'Key Dashboards-July 2017'!$N$36</f>
        <v>1.4830931871574002</v>
      </c>
      <c r="F167" s="196">
        <f>+F144/'Key Dashboards-July 2017'!$N$36</f>
        <v>2.0433680771204061</v>
      </c>
      <c r="G167" s="196">
        <f>+G144/'Key Dashboards-July 2017'!$N$36</f>
        <v>2.3302135932816674</v>
      </c>
      <c r="H167" s="196">
        <f>+H144/'Key Dashboards-July 2017'!$N$36</f>
        <v>2.6206102665190505</v>
      </c>
      <c r="I167" s="196">
        <f>+I144/'Key Dashboards-July 2017'!$N$36</f>
        <v>3.0669546080522778</v>
      </c>
      <c r="J167" s="196">
        <f>+J144/'Key Dashboards-July 2017'!$N$36</f>
        <v>3.5656422650068857</v>
      </c>
      <c r="K167" s="91"/>
    </row>
    <row r="168" spans="1:11" ht="13.5" thickTop="1">
      <c r="B168" s="187" t="s">
        <v>235</v>
      </c>
      <c r="C168" s="88">
        <f>+SUM(C165:C167)</f>
        <v>9.9543208759754815</v>
      </c>
      <c r="D168" s="88">
        <f t="shared" ref="D168" si="79">+SUM(D165:D167)</f>
        <v>19.618741392811817</v>
      </c>
      <c r="E168" s="88">
        <f t="shared" ref="E168" si="80">+SUM(E165:E167)</f>
        <v>29.205043744768183</v>
      </c>
      <c r="F168" s="88">
        <f t="shared" ref="F168" si="81">+SUM(F165:F167)</f>
        <v>38.558731401722781</v>
      </c>
      <c r="G168" s="88">
        <f t="shared" ref="G168" si="82">+SUM(G165:G167)</f>
        <v>48.14595995463506</v>
      </c>
      <c r="H168" s="88">
        <f t="shared" ref="H168" si="83">+SUM(H165:H167)</f>
        <v>57.852454972592014</v>
      </c>
      <c r="I168" s="88">
        <f t="shared" ref="I168" si="84">+SUM(I165:I167)</f>
        <v>67.717510193611105</v>
      </c>
      <c r="J168" s="88">
        <f t="shared" ref="J168" si="85">+SUM(J165:J167)</f>
        <v>77.244419436718601</v>
      </c>
      <c r="K168" s="91"/>
    </row>
    <row r="169" spans="1:11">
      <c r="B169" s="92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s="29" customFormat="1" ht="6.95" customHeight="1">
      <c r="A170" s="4"/>
      <c r="B170" s="4"/>
      <c r="C170" s="4"/>
      <c r="D170" s="3"/>
      <c r="E170" s="3"/>
      <c r="F170" s="4"/>
      <c r="G170" s="4"/>
      <c r="H170" s="4"/>
      <c r="I170" s="4"/>
      <c r="J170" s="4"/>
      <c r="K170" s="4"/>
    </row>
    <row r="171" spans="1:11" ht="13.5" thickBot="1">
      <c r="B171" s="92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1:11" ht="13.5" thickBot="1">
      <c r="B172" s="671" t="s">
        <v>199</v>
      </c>
      <c r="C172" s="672"/>
      <c r="D172" s="672"/>
      <c r="E172" s="672"/>
      <c r="F172" s="672"/>
      <c r="G172" s="672"/>
      <c r="H172" s="672"/>
      <c r="I172" s="672"/>
      <c r="J172" s="673"/>
      <c r="K172" s="91"/>
    </row>
    <row r="173" spans="1:11" ht="14.25" thickTop="1" thickBot="1">
      <c r="B173" s="69" t="s">
        <v>226</v>
      </c>
      <c r="C173" s="201" t="s">
        <v>44</v>
      </c>
      <c r="D173" s="201" t="s">
        <v>45</v>
      </c>
      <c r="E173" s="201" t="s">
        <v>46</v>
      </c>
      <c r="F173" s="201" t="s">
        <v>47</v>
      </c>
      <c r="G173" s="201" t="s">
        <v>48</v>
      </c>
      <c r="H173" s="201" t="s">
        <v>49</v>
      </c>
      <c r="I173" s="201" t="s">
        <v>50</v>
      </c>
      <c r="J173" s="201" t="s">
        <v>51</v>
      </c>
      <c r="K173" s="91"/>
    </row>
    <row r="174" spans="1:11" ht="14.25" thickTop="1" thickBot="1">
      <c r="B174" s="186" t="s">
        <v>255</v>
      </c>
      <c r="C174" s="84">
        <f>+C76/'Key Dashboards-July 2017'!$N$30</f>
        <v>1092.333269230769</v>
      </c>
      <c r="D174" s="84">
        <f>+D76/'Key Dashboards-July 2017'!$N$30</f>
        <v>-414.84326923076907</v>
      </c>
      <c r="E174" s="84">
        <f>+E76/'Key Dashboards-July 2017'!$N$30</f>
        <v>-129.06769230769211</v>
      </c>
      <c r="F174" s="84">
        <f>+F76/'Key Dashboards-July 2017'!$N$30</f>
        <v>906.65942307692319</v>
      </c>
      <c r="G174" s="84">
        <f>+G76/'Key Dashboards-July 2017'!$N$30</f>
        <v>39.124230769230614</v>
      </c>
      <c r="H174" s="84">
        <f>+H76/'Key Dashboards-July 2017'!$N$30</f>
        <v>-249.01884615384608</v>
      </c>
      <c r="I174" s="84">
        <f>+I76/'Key Dashboards-July 2017'!$N$30</f>
        <v>473.80749999999995</v>
      </c>
      <c r="J174" s="84">
        <f>+J76/'Key Dashboards-July 2017'!$N$30</f>
        <v>-1012.1959615384616</v>
      </c>
      <c r="K174" s="91"/>
    </row>
    <row r="175" spans="1:11" ht="14.25" thickTop="1" thickBot="1">
      <c r="B175" s="187" t="s">
        <v>134</v>
      </c>
      <c r="C175" s="84">
        <f>+C128/'Key Dashboards-July 2017'!$N$30</f>
        <v>1628.8505769230769</v>
      </c>
      <c r="D175" s="84">
        <f>+D128/'Key Dashboards-July 2017'!$N$30</f>
        <v>1560.7921153846148</v>
      </c>
      <c r="E175" s="84">
        <f>+E128/'Key Dashboards-July 2017'!$N$30</f>
        <v>1442.3240384615387</v>
      </c>
      <c r="F175" s="84">
        <f>+F128/'Key Dashboards-July 2017'!$N$30</f>
        <v>1296.4030769230767</v>
      </c>
      <c r="G175" s="84">
        <f>+G128/'Key Dashboards-July 2017'!$N$30</f>
        <v>1320.3346153846155</v>
      </c>
      <c r="H175" s="84">
        <f>+H128/'Key Dashboards-July 2017'!$N$30</f>
        <v>1326.1442307692309</v>
      </c>
      <c r="I175" s="84">
        <f>+I128/'Key Dashboards-July 2017'!$N$30</f>
        <v>1372.665192307692</v>
      </c>
      <c r="J175" s="84">
        <f>+J128/'Key Dashboards-July 2017'!$N$30</f>
        <v>1172.4744230769231</v>
      </c>
      <c r="K175" s="91"/>
    </row>
    <row r="176" spans="1:11" ht="14.25" thickTop="1" thickBot="1">
      <c r="B176" s="187" t="s">
        <v>215</v>
      </c>
      <c r="C176" s="84">
        <f>+C129/'Key Dashboards-July 2017'!$N$30</f>
        <v>1308.9948076923076</v>
      </c>
      <c r="D176" s="84">
        <f>+D129/'Key Dashboards-July 2017'!$N$30</f>
        <v>1182.3178846153846</v>
      </c>
      <c r="E176" s="84">
        <f>+E129/'Key Dashboards-July 2017'!$N$30</f>
        <v>1308.9948076923076</v>
      </c>
      <c r="F176" s="84">
        <f>+F129/'Key Dashboards-July 2017'!$N$30</f>
        <v>1266.7692307692307</v>
      </c>
      <c r="G176" s="84">
        <f>+G129/'Key Dashboards-July 2017'!$N$30</f>
        <v>1308.9948076923076</v>
      </c>
      <c r="H176" s="84">
        <f>+H129/'Key Dashboards-July 2017'!$N$30</f>
        <v>1266.7692307692307</v>
      </c>
      <c r="I176" s="84">
        <f>+I129/'Key Dashboards-July 2017'!$N$30</f>
        <v>1308.9948076923076</v>
      </c>
      <c r="J176" s="84">
        <f>+J129/'Key Dashboards-July 2017'!$N$30</f>
        <v>1308.9948076923076</v>
      </c>
      <c r="K176" s="91"/>
    </row>
    <row r="177" spans="2:11" ht="14.25" thickTop="1" thickBot="1">
      <c r="B177" s="187" t="s">
        <v>148</v>
      </c>
      <c r="C177" s="84">
        <f>+C130/'Key Dashboards-July 2017'!$N$30</f>
        <v>2967.8707692307694</v>
      </c>
      <c r="D177" s="84">
        <f>+D130/'Key Dashboards-July 2017'!$N$30</f>
        <v>2813.6774999999998</v>
      </c>
      <c r="E177" s="84">
        <f>+E130/'Key Dashboards-July 2017'!$N$30</f>
        <v>2791.6746153846157</v>
      </c>
      <c r="F177" s="84">
        <f>+F130/'Key Dashboards-July 2017'!$N$30</f>
        <v>2608.2017307692304</v>
      </c>
      <c r="G177" s="84">
        <f>+G130/'Key Dashboards-July 2017'!$N$30</f>
        <v>2658.9742307692309</v>
      </c>
      <c r="H177" s="84">
        <f>+H130/'Key Dashboards-July 2017'!$N$30</f>
        <v>2874.6276923076925</v>
      </c>
      <c r="I177" s="84">
        <f>+I130/'Key Dashboards-July 2017'!$N$30</f>
        <v>2711.3048076923073</v>
      </c>
      <c r="J177" s="84">
        <f>+J130/'Key Dashboards-July 2017'!$N$30</f>
        <v>2636.2721153846151</v>
      </c>
      <c r="K177" s="91"/>
    </row>
    <row r="178" spans="2:11" ht="14.25" thickTop="1" thickBot="1">
      <c r="B178" s="187" t="s">
        <v>203</v>
      </c>
      <c r="C178" s="84">
        <f>+C131/'Key Dashboards-July 2017'!$N$26</f>
        <v>5843.75</v>
      </c>
      <c r="D178" s="84">
        <f>+D131/'Key Dashboards-July 2017'!$N$26</f>
        <v>5843.75</v>
      </c>
      <c r="E178" s="84">
        <f>+E131/'Key Dashboards-July 2017'!$N$26</f>
        <v>5843.75</v>
      </c>
      <c r="F178" s="84">
        <f>+F131/'Key Dashboards-July 2017'!$N$26</f>
        <v>5843.75</v>
      </c>
      <c r="G178" s="84">
        <f>+G131/'Key Dashboards-July 2017'!$N$26</f>
        <v>5843.75</v>
      </c>
      <c r="H178" s="84">
        <f>+H131/'Key Dashboards-July 2017'!$N$26</f>
        <v>5887.5</v>
      </c>
      <c r="I178" s="84">
        <f>+I131/'Key Dashboards-July 2017'!$N$26</f>
        <v>5937.5</v>
      </c>
      <c r="J178" s="84">
        <f>+J131/'Key Dashboards-July 2017'!$N$26</f>
        <v>5937.5</v>
      </c>
      <c r="K178" s="91"/>
    </row>
    <row r="179" spans="2:11" ht="14.25" thickTop="1" thickBot="1">
      <c r="B179" s="187" t="s">
        <v>144</v>
      </c>
      <c r="C179" s="84">
        <f>+C132/'Key Dashboards-July 2017'!$N$29</f>
        <v>3392.1508000000003</v>
      </c>
      <c r="D179" s="84">
        <f>+D132/'Key Dashboards-July 2017'!$N$29</f>
        <v>3417.6567999999997</v>
      </c>
      <c r="E179" s="84">
        <f>+E132/'Key Dashboards-July 2017'!$N$29</f>
        <v>3334.9758000000002</v>
      </c>
      <c r="F179" s="84">
        <f>+F132/'Key Dashboards-July 2017'!$N$29</f>
        <v>3050.3435999999997</v>
      </c>
      <c r="G179" s="84">
        <f>+G132/'Key Dashboards-July 2017'!$N$29</f>
        <v>3425.8361999999997</v>
      </c>
      <c r="H179" s="84">
        <f>+H132/'Key Dashboards-July 2017'!$N$29</f>
        <v>3485.6188000000002</v>
      </c>
      <c r="I179" s="84">
        <f>+I132/'Key Dashboards-July 2017'!$N$29</f>
        <v>3457.9274</v>
      </c>
      <c r="J179" s="84">
        <f>+J132/'Key Dashboards-July 2017'!$N$29</f>
        <v>3168.7076000000002</v>
      </c>
      <c r="K179" s="91"/>
    </row>
    <row r="180" spans="2:11" ht="14.25" thickTop="1" thickBot="1">
      <c r="B180" s="187" t="s">
        <v>145</v>
      </c>
      <c r="C180" s="84">
        <f>+C133/'Key Dashboards-July 2017'!$N$29</f>
        <v>518.03099999999995</v>
      </c>
      <c r="D180" s="84">
        <f>+D133/'Key Dashboards-July 2017'!$N$29</f>
        <v>277.80739999999997</v>
      </c>
      <c r="E180" s="84">
        <f>+E133/'Key Dashboards-July 2017'!$N$29</f>
        <v>302.62940000000003</v>
      </c>
      <c r="F180" s="84">
        <f>+F133/'Key Dashboards-July 2017'!$N$29</f>
        <v>414.97320000000002</v>
      </c>
      <c r="G180" s="84">
        <f>+G133/'Key Dashboards-July 2017'!$N$29</f>
        <v>212.45500000000001</v>
      </c>
      <c r="H180" s="84">
        <f>+H133/'Key Dashboards-July 2017'!$N$29</f>
        <v>215.08520000000001</v>
      </c>
      <c r="I180" s="84">
        <f>+I133/'Key Dashboards-July 2017'!$N$29</f>
        <v>330.58940000000001</v>
      </c>
      <c r="J180" s="84">
        <f>+J133/'Key Dashboards-July 2017'!$N$29</f>
        <v>369.358</v>
      </c>
      <c r="K180" s="91"/>
    </row>
    <row r="181" spans="2:11" ht="13.5" thickTop="1">
      <c r="B181" s="187" t="s">
        <v>135</v>
      </c>
      <c r="C181" s="98">
        <f>+SUM(C178:C180)</f>
        <v>9753.9317999999985</v>
      </c>
      <c r="D181" s="98">
        <f t="shared" ref="D181" si="86">+SUM(D178:D180)</f>
        <v>9539.2142000000003</v>
      </c>
      <c r="E181" s="98">
        <f t="shared" ref="E181" si="87">+SUM(E178:E180)</f>
        <v>9481.3552</v>
      </c>
      <c r="F181" s="98">
        <f t="shared" ref="F181" si="88">+SUM(F178:F180)</f>
        <v>9309.0668000000005</v>
      </c>
      <c r="G181" s="98">
        <f t="shared" ref="G181" si="89">+SUM(G178:G180)</f>
        <v>9482.0411999999997</v>
      </c>
      <c r="H181" s="98">
        <f t="shared" ref="H181" si="90">+SUM(H178:H180)</f>
        <v>9588.2039999999997</v>
      </c>
      <c r="I181" s="98">
        <f t="shared" ref="I181" si="91">+SUM(I178:I180)</f>
        <v>9726.0168000000012</v>
      </c>
      <c r="J181" s="98">
        <f t="shared" ref="J181" si="92">+SUM(J178:J180)</f>
        <v>9475.5655999999999</v>
      </c>
      <c r="K181" s="91"/>
    </row>
    <row r="182" spans="2:11" ht="13.5" thickBot="1">
      <c r="B182" s="92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 ht="13.5" thickBot="1">
      <c r="B183" s="671" t="s">
        <v>219</v>
      </c>
      <c r="C183" s="672"/>
      <c r="D183" s="672"/>
      <c r="E183" s="672"/>
      <c r="F183" s="672"/>
      <c r="G183" s="672"/>
      <c r="H183" s="672"/>
      <c r="I183" s="672"/>
      <c r="J183" s="673"/>
      <c r="K183" s="91"/>
    </row>
    <row r="184" spans="2:11" ht="14.25" thickTop="1" thickBot="1">
      <c r="B184" s="69" t="s">
        <v>226</v>
      </c>
      <c r="C184" s="201" t="s">
        <v>44</v>
      </c>
      <c r="D184" s="201" t="s">
        <v>45</v>
      </c>
      <c r="E184" s="201" t="s">
        <v>46</v>
      </c>
      <c r="F184" s="201" t="s">
        <v>47</v>
      </c>
      <c r="G184" s="201" t="s">
        <v>48</v>
      </c>
      <c r="H184" s="201" t="s">
        <v>49</v>
      </c>
      <c r="I184" s="201" t="s">
        <v>50</v>
      </c>
      <c r="J184" s="201" t="s">
        <v>51</v>
      </c>
      <c r="K184" s="91"/>
    </row>
    <row r="185" spans="2:11" ht="14.25" thickTop="1" thickBot="1">
      <c r="B185" s="186" t="s">
        <v>258</v>
      </c>
      <c r="C185" s="84">
        <f>+C78/'Key Dashboards-July 2017'!$N$30</f>
        <v>1092.333269230769</v>
      </c>
      <c r="D185" s="84">
        <f>+D78/'Key Dashboards-July 2017'!$N$30</f>
        <v>677.49000000000024</v>
      </c>
      <c r="E185" s="84">
        <f>+E78/'Key Dashboards-July 2017'!$N$30</f>
        <v>548.42230769230753</v>
      </c>
      <c r="F185" s="84">
        <f>+F78/'Key Dashboards-July 2017'!$N$30</f>
        <v>1455.0817307692303</v>
      </c>
      <c r="G185" s="84">
        <f>+G78/'Key Dashboards-July 2017'!$N$30</f>
        <v>1494.2059615384619</v>
      </c>
      <c r="H185" s="84">
        <f>+H78/'Key Dashboards-July 2017'!$N$30</f>
        <v>1245.187115384615</v>
      </c>
      <c r="I185" s="84">
        <f>+I78/'Key Dashboards-July 2017'!$N$30</f>
        <v>1718.9946153846149</v>
      </c>
      <c r="J185" s="84">
        <f>+J78/'Key Dashboards-July 2017'!$N$30</f>
        <v>706.79865384615437</v>
      </c>
      <c r="K185" s="91"/>
    </row>
    <row r="186" spans="2:11" ht="14.25" thickTop="1" thickBot="1">
      <c r="B186" s="187" t="s">
        <v>240</v>
      </c>
      <c r="C186" s="84">
        <f>+C139/'Key Dashboards-July 2017'!$N$30</f>
        <v>1628.8505769230769</v>
      </c>
      <c r="D186" s="84">
        <f>+D139/'Key Dashboards-July 2017'!$N$30</f>
        <v>3189.6426923076924</v>
      </c>
      <c r="E186" s="84">
        <f>+E139/'Key Dashboards-July 2017'!$N$30</f>
        <v>4631.9667307692307</v>
      </c>
      <c r="F186" s="84">
        <f>+F139/'Key Dashboards-July 2017'!$N$30</f>
        <v>5928.3698076923092</v>
      </c>
      <c r="G186" s="84">
        <f>+G139/'Key Dashboards-July 2017'!$N$30</f>
        <v>7248.7044230769234</v>
      </c>
      <c r="H186" s="84">
        <f>+H139/'Key Dashboards-July 2017'!$N$30</f>
        <v>8574.8486538461566</v>
      </c>
      <c r="I186" s="84">
        <f>+I139/'Key Dashboards-July 2017'!$N$30</f>
        <v>9947.5138461538445</v>
      </c>
      <c r="J186" s="84">
        <f>+J139/'Key Dashboards-July 2017'!$N$30</f>
        <v>11119.988269230767</v>
      </c>
      <c r="K186" s="91"/>
    </row>
    <row r="187" spans="2:11" ht="14.25" thickTop="1" thickBot="1">
      <c r="B187" s="187" t="s">
        <v>252</v>
      </c>
      <c r="C187" s="84">
        <f>+C140/'Key Dashboards-July 2017'!$N$30</f>
        <v>1308.9948076923076</v>
      </c>
      <c r="D187" s="84">
        <f>+D140/'Key Dashboards-July 2017'!$N$30</f>
        <v>2491.312692307692</v>
      </c>
      <c r="E187" s="84">
        <f>+E140/'Key Dashboards-July 2017'!$N$30</f>
        <v>3800.3074999999999</v>
      </c>
      <c r="F187" s="84">
        <f>+F140/'Key Dashboards-July 2017'!$N$30</f>
        <v>5067.0767307692304</v>
      </c>
      <c r="G187" s="84">
        <f>+G140/'Key Dashboards-July 2017'!$N$30</f>
        <v>6376.0715384615378</v>
      </c>
      <c r="H187" s="84">
        <f>+H140/'Key Dashboards-July 2017'!$N$30</f>
        <v>7642.8407692307683</v>
      </c>
      <c r="I187" s="84">
        <f>+I140/'Key Dashboards-July 2017'!$N$30</f>
        <v>8951.8355769230766</v>
      </c>
      <c r="J187" s="84">
        <f>+J140/'Key Dashboards-July 2017'!$N$30</f>
        <v>10260.830384615385</v>
      </c>
      <c r="K187" s="91"/>
    </row>
    <row r="188" spans="2:11" ht="14.25" thickTop="1" thickBot="1">
      <c r="B188" s="187" t="s">
        <v>253</v>
      </c>
      <c r="C188" s="84">
        <f>+C141/'Key Dashboards-July 2017'!$N$30</f>
        <v>2967.8707692307694</v>
      </c>
      <c r="D188" s="84">
        <f>+D141/'Key Dashboards-July 2017'!$N$30</f>
        <v>5781.5482692307696</v>
      </c>
      <c r="E188" s="84">
        <f>+E141/'Key Dashboards-July 2017'!$N$30</f>
        <v>8573.2228846153848</v>
      </c>
      <c r="F188" s="84">
        <f>+F141/'Key Dashboards-July 2017'!$N$30</f>
        <v>11181.424615384616</v>
      </c>
      <c r="G188" s="84">
        <f>+G141/'Key Dashboards-July 2017'!$N$30</f>
        <v>13840.398846153847</v>
      </c>
      <c r="H188" s="84">
        <f>+H141/'Key Dashboards-July 2017'!$N$30</f>
        <v>16715.026538461541</v>
      </c>
      <c r="I188" s="84">
        <f>+I141/'Key Dashboards-July 2017'!$N$30</f>
        <v>19426.331346153846</v>
      </c>
      <c r="J188" s="84">
        <f>+J141/'Key Dashboards-July 2017'!$N$30</f>
        <v>22062.60346153846</v>
      </c>
      <c r="K188" s="91"/>
    </row>
    <row r="189" spans="2:11" ht="14.25" thickTop="1" thickBot="1">
      <c r="B189" s="187" t="s">
        <v>232</v>
      </c>
      <c r="C189" s="84">
        <f>+C142/'Key Dashboards-July 2017'!$N$26</f>
        <v>5843.75</v>
      </c>
      <c r="D189" s="84">
        <f>+D142/'Key Dashboards-July 2017'!$N$26</f>
        <v>11687.5</v>
      </c>
      <c r="E189" s="84">
        <f>+E142/'Key Dashboards-July 2017'!$N$26</f>
        <v>17531.25</v>
      </c>
      <c r="F189" s="84">
        <f>+F142/'Key Dashboards-July 2017'!$N$26</f>
        <v>23375</v>
      </c>
      <c r="G189" s="84">
        <f>+G142/'Key Dashboards-July 2017'!$N$26</f>
        <v>29218.75</v>
      </c>
      <c r="H189" s="84">
        <f>+H142/'Key Dashboards-July 2017'!$N$26</f>
        <v>35106.25</v>
      </c>
      <c r="I189" s="84">
        <f>+I142/'Key Dashboards-July 2017'!$N$26</f>
        <v>41043.75</v>
      </c>
      <c r="J189" s="84">
        <f>+J142/'Key Dashboards-July 2017'!$N$26</f>
        <v>46981.25</v>
      </c>
      <c r="K189" s="91"/>
    </row>
    <row r="190" spans="2:11" ht="14.25" thickTop="1" thickBot="1">
      <c r="B190" s="187" t="s">
        <v>233</v>
      </c>
      <c r="C190" s="84">
        <f>+C143/'Key Dashboards-July 2017'!$N$29</f>
        <v>3392.1508000000003</v>
      </c>
      <c r="D190" s="84">
        <f>+D143/'Key Dashboards-July 2017'!$N$29</f>
        <v>6809.8076000000001</v>
      </c>
      <c r="E190" s="84">
        <f>+E143/'Key Dashboards-July 2017'!$N$29</f>
        <v>10144.7834</v>
      </c>
      <c r="F190" s="84">
        <f>+F143/'Key Dashboards-July 2017'!$N$29</f>
        <v>13195.127</v>
      </c>
      <c r="G190" s="84">
        <f>+G143/'Key Dashboards-July 2017'!$N$29</f>
        <v>16620.963200000002</v>
      </c>
      <c r="H190" s="84">
        <f>+H143/'Key Dashboards-July 2017'!$N$29</f>
        <v>20106.581999999999</v>
      </c>
      <c r="I190" s="84">
        <f>+I143/'Key Dashboards-July 2017'!$N$29</f>
        <v>23564.509399999999</v>
      </c>
      <c r="J190" s="84">
        <f>+J143/'Key Dashboards-July 2017'!$N$29</f>
        <v>26733.217000000001</v>
      </c>
      <c r="K190" s="91"/>
    </row>
    <row r="191" spans="2:11" ht="14.25" thickTop="1" thickBot="1">
      <c r="B191" s="187" t="s">
        <v>234</v>
      </c>
      <c r="C191" s="84">
        <f>+C144/'Key Dashboards-July 2017'!$N$29</f>
        <v>518.03099999999995</v>
      </c>
      <c r="D191" s="84">
        <f>+D144/'Key Dashboards-July 2017'!$N$29</f>
        <v>795.83839999999998</v>
      </c>
      <c r="E191" s="84">
        <f>+E144/'Key Dashboards-July 2017'!$N$29</f>
        <v>1098.4677999999999</v>
      </c>
      <c r="F191" s="84">
        <f>+F144/'Key Dashboards-July 2017'!$N$29</f>
        <v>1513.441</v>
      </c>
      <c r="G191" s="84">
        <f>+G144/'Key Dashboards-July 2017'!$N$29</f>
        <v>1725.8959999999997</v>
      </c>
      <c r="H191" s="84">
        <f>+H144/'Key Dashboards-July 2017'!$N$29</f>
        <v>1940.9811999999999</v>
      </c>
      <c r="I191" s="84">
        <f>+I144/'Key Dashboards-July 2017'!$N$29</f>
        <v>2271.5706</v>
      </c>
      <c r="J191" s="84">
        <f>+J144/'Key Dashboards-July 2017'!$N$29</f>
        <v>2640.9285999999997</v>
      </c>
      <c r="K191" s="91"/>
    </row>
    <row r="192" spans="2:11" ht="13.5" thickTop="1">
      <c r="B192" s="264" t="s">
        <v>235</v>
      </c>
      <c r="C192" s="98">
        <f>+SUM(C189:C191)</f>
        <v>9753.9317999999985</v>
      </c>
      <c r="D192" s="98">
        <f t="shared" ref="D192" si="93">+SUM(D189:D191)</f>
        <v>19293.146000000001</v>
      </c>
      <c r="E192" s="98">
        <f t="shared" ref="E192" si="94">+SUM(E189:E191)</f>
        <v>28774.501199999999</v>
      </c>
      <c r="F192" s="98">
        <f t="shared" ref="F192" si="95">+SUM(F189:F191)</f>
        <v>38083.567999999999</v>
      </c>
      <c r="G192" s="98">
        <f t="shared" ref="G192" si="96">+SUM(G189:G191)</f>
        <v>47565.609199999999</v>
      </c>
      <c r="H192" s="98">
        <f t="shared" ref="H192" si="97">+SUM(H189:H191)</f>
        <v>57153.813199999997</v>
      </c>
      <c r="I192" s="98">
        <f t="shared" ref="I192" si="98">+SUM(I189:I191)</f>
        <v>66879.83</v>
      </c>
      <c r="J192" s="98">
        <f t="shared" ref="J192" si="99">+SUM(J189:J191)</f>
        <v>76355.395600000003</v>
      </c>
      <c r="K192" s="91"/>
    </row>
    <row r="193" spans="1:19">
      <c r="B193" s="92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1:19" s="29" customFormat="1" ht="6.95" customHeight="1">
      <c r="A194" s="4"/>
      <c r="B194" s="4"/>
      <c r="C194" s="4"/>
      <c r="D194" s="3"/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3.5" thickBot="1">
      <c r="B195" s="92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1:19">
      <c r="B196" s="255"/>
      <c r="C196" s="667" t="s">
        <v>19</v>
      </c>
      <c r="D196" s="668"/>
      <c r="E196" s="667" t="s">
        <v>20</v>
      </c>
      <c r="F196" s="668"/>
      <c r="G196" s="667" t="s">
        <v>21</v>
      </c>
      <c r="H196" s="668"/>
      <c r="I196" s="667" t="s">
        <v>22</v>
      </c>
      <c r="J196" s="668"/>
      <c r="K196" s="669" t="s">
        <v>23</v>
      </c>
      <c r="L196" s="670"/>
      <c r="M196" s="667" t="s">
        <v>24</v>
      </c>
      <c r="N196" s="668"/>
      <c r="O196" s="667" t="s">
        <v>25</v>
      </c>
      <c r="P196" s="668"/>
      <c r="Q196" s="667" t="s">
        <v>26</v>
      </c>
      <c r="R196" s="668"/>
    </row>
    <row r="197" spans="1:19">
      <c r="B197" s="256" t="s">
        <v>27</v>
      </c>
      <c r="C197" s="257" t="s">
        <v>162</v>
      </c>
      <c r="D197" s="258" t="s">
        <v>163</v>
      </c>
      <c r="E197" s="257" t="s">
        <v>162</v>
      </c>
      <c r="F197" s="258" t="s">
        <v>163</v>
      </c>
      <c r="G197" s="257" t="s">
        <v>162</v>
      </c>
      <c r="H197" s="258" t="s">
        <v>163</v>
      </c>
      <c r="I197" s="257" t="s">
        <v>162</v>
      </c>
      <c r="J197" s="258" t="s">
        <v>163</v>
      </c>
      <c r="K197" s="257" t="s">
        <v>162</v>
      </c>
      <c r="L197" s="258" t="s">
        <v>163</v>
      </c>
      <c r="M197" s="257" t="s">
        <v>162</v>
      </c>
      <c r="N197" s="258" t="s">
        <v>163</v>
      </c>
      <c r="O197" s="258" t="s">
        <v>162</v>
      </c>
      <c r="P197" s="258" t="s">
        <v>163</v>
      </c>
      <c r="Q197" s="258" t="s">
        <v>162</v>
      </c>
      <c r="R197" s="258" t="s">
        <v>163</v>
      </c>
    </row>
    <row r="198" spans="1:19">
      <c r="B198" s="259" t="s">
        <v>13</v>
      </c>
      <c r="C198" s="260">
        <v>169607.53999999998</v>
      </c>
      <c r="D198" s="260">
        <v>184892</v>
      </c>
      <c r="E198" s="260">
        <v>170882.84</v>
      </c>
      <c r="F198" s="260">
        <v>189304</v>
      </c>
      <c r="G198" s="260">
        <v>166748.79</v>
      </c>
      <c r="H198" s="260">
        <v>190231</v>
      </c>
      <c r="I198" s="260">
        <v>152517.18</v>
      </c>
      <c r="J198" s="260">
        <v>182535</v>
      </c>
      <c r="K198" s="260">
        <v>171291.81</v>
      </c>
      <c r="L198" s="260">
        <v>178294</v>
      </c>
      <c r="M198" s="260">
        <v>174280.94</v>
      </c>
      <c r="N198" s="260">
        <v>178594</v>
      </c>
      <c r="O198" s="260">
        <v>172896.37</v>
      </c>
      <c r="P198" s="260">
        <v>182634</v>
      </c>
      <c r="Q198" s="260">
        <v>158435.38</v>
      </c>
      <c r="R198" s="260">
        <v>193736</v>
      </c>
      <c r="S198" s="259" t="s">
        <v>13</v>
      </c>
    </row>
    <row r="199" spans="1:19">
      <c r="B199" s="184" t="s">
        <v>165</v>
      </c>
      <c r="C199" s="169">
        <v>11687.5</v>
      </c>
      <c r="D199" s="261">
        <v>11687.5</v>
      </c>
      <c r="E199" s="169">
        <v>11687.5</v>
      </c>
      <c r="F199" s="261">
        <v>23375</v>
      </c>
      <c r="G199" s="169">
        <v>11687.5</v>
      </c>
      <c r="H199" s="261">
        <v>35062.5</v>
      </c>
      <c r="I199" s="169">
        <v>11687.5</v>
      </c>
      <c r="J199" s="261">
        <v>46750</v>
      </c>
      <c r="K199" s="169">
        <v>11687.5</v>
      </c>
      <c r="L199" s="261">
        <v>58437.5</v>
      </c>
      <c r="M199" s="169">
        <v>11775</v>
      </c>
      <c r="N199" s="261">
        <v>70212.5</v>
      </c>
      <c r="O199" s="169">
        <v>11875</v>
      </c>
      <c r="P199" s="261">
        <v>82087.5</v>
      </c>
      <c r="Q199" s="169">
        <v>11875</v>
      </c>
      <c r="R199" s="261">
        <v>93962.5</v>
      </c>
      <c r="S199" s="288" t="s">
        <v>165</v>
      </c>
    </row>
    <row r="200" spans="1:19">
      <c r="B200" s="259" t="s">
        <v>166</v>
      </c>
      <c r="C200" s="202">
        <v>20225.78</v>
      </c>
      <c r="D200" s="202">
        <v>2450</v>
      </c>
      <c r="E200" s="202">
        <v>9278.6600000000035</v>
      </c>
      <c r="F200" s="202">
        <v>3350</v>
      </c>
      <c r="G200" s="202">
        <v>10256.870000000001</v>
      </c>
      <c r="H200" s="202">
        <v>7605</v>
      </c>
      <c r="I200" s="202">
        <v>12310.78</v>
      </c>
      <c r="J200" s="202">
        <v>5150</v>
      </c>
      <c r="K200" s="202">
        <v>7052.29</v>
      </c>
      <c r="L200" s="202">
        <v>6050</v>
      </c>
      <c r="M200" s="202">
        <v>6970.05</v>
      </c>
      <c r="N200" s="202">
        <v>10305</v>
      </c>
      <c r="O200" s="202">
        <v>12708.33</v>
      </c>
      <c r="P200" s="202">
        <v>8000</v>
      </c>
      <c r="Q200" s="202">
        <v>9132.9700000000012</v>
      </c>
      <c r="R200" s="202">
        <v>8900</v>
      </c>
      <c r="S200" s="259" t="s">
        <v>166</v>
      </c>
    </row>
    <row r="201" spans="1:19">
      <c r="B201" s="259" t="s">
        <v>167</v>
      </c>
      <c r="C201" s="260">
        <v>5675.77</v>
      </c>
      <c r="D201" s="260">
        <v>3672</v>
      </c>
      <c r="E201" s="260">
        <v>4611.71</v>
      </c>
      <c r="F201" s="260">
        <v>5312</v>
      </c>
      <c r="G201" s="260">
        <v>4874.6000000000004</v>
      </c>
      <c r="H201" s="260">
        <v>10032</v>
      </c>
      <c r="I201" s="260">
        <v>8437.880000000001</v>
      </c>
      <c r="J201" s="260">
        <v>12662</v>
      </c>
      <c r="K201" s="260">
        <v>3570.46</v>
      </c>
      <c r="L201" s="260">
        <v>13578.29</v>
      </c>
      <c r="M201" s="260">
        <v>3784.21</v>
      </c>
      <c r="N201" s="260">
        <v>17448.05</v>
      </c>
      <c r="O201" s="260">
        <v>3821.14</v>
      </c>
      <c r="P201" s="260">
        <v>19803.05</v>
      </c>
      <c r="Q201" s="260">
        <v>9334.93</v>
      </c>
      <c r="R201" s="260">
        <v>22578.05</v>
      </c>
      <c r="S201" s="259" t="s">
        <v>167</v>
      </c>
    </row>
    <row r="202" spans="1:19">
      <c r="B202" s="259" t="s">
        <v>135</v>
      </c>
      <c r="C202" s="260">
        <f>SUM(C198:C201)</f>
        <v>207196.58999999997</v>
      </c>
      <c r="D202" s="260">
        <f t="shared" ref="D202:R202" si="100">SUM(D198:D201)</f>
        <v>202701.5</v>
      </c>
      <c r="E202" s="260">
        <f t="shared" si="100"/>
        <v>196460.71</v>
      </c>
      <c r="F202" s="260">
        <f t="shared" si="100"/>
        <v>221341</v>
      </c>
      <c r="G202" s="260">
        <f t="shared" si="100"/>
        <v>193567.76</v>
      </c>
      <c r="H202" s="260">
        <f t="shared" si="100"/>
        <v>242930.5</v>
      </c>
      <c r="I202" s="260">
        <f t="shared" si="100"/>
        <v>184953.34</v>
      </c>
      <c r="J202" s="260">
        <f t="shared" si="100"/>
        <v>247097</v>
      </c>
      <c r="K202" s="260">
        <f t="shared" si="100"/>
        <v>193602.06</v>
      </c>
      <c r="L202" s="260">
        <f t="shared" si="100"/>
        <v>256359.79</v>
      </c>
      <c r="M202" s="260">
        <f t="shared" si="100"/>
        <v>196810.19999999998</v>
      </c>
      <c r="N202" s="260">
        <f t="shared" si="100"/>
        <v>276559.55</v>
      </c>
      <c r="O202" s="260">
        <f t="shared" si="100"/>
        <v>201300.84</v>
      </c>
      <c r="P202" s="260">
        <f t="shared" si="100"/>
        <v>292524.55</v>
      </c>
      <c r="Q202" s="260">
        <f t="shared" si="100"/>
        <v>188778.28</v>
      </c>
      <c r="R202" s="260">
        <f t="shared" si="100"/>
        <v>319176.55</v>
      </c>
      <c r="S202" s="259" t="s">
        <v>135</v>
      </c>
    </row>
    <row r="203" spans="1:19">
      <c r="S203" s="66"/>
    </row>
    <row r="204" spans="1:19">
      <c r="B204" s="256"/>
      <c r="C204" s="257" t="s">
        <v>162</v>
      </c>
      <c r="D204" s="258" t="s">
        <v>161</v>
      </c>
      <c r="E204" s="257" t="s">
        <v>162</v>
      </c>
      <c r="F204" s="258" t="s">
        <v>161</v>
      </c>
      <c r="G204" s="257" t="s">
        <v>162</v>
      </c>
      <c r="H204" s="258" t="s">
        <v>161</v>
      </c>
      <c r="I204" s="257" t="s">
        <v>162</v>
      </c>
      <c r="J204" s="258" t="s">
        <v>161</v>
      </c>
      <c r="K204" s="257" t="s">
        <v>162</v>
      </c>
      <c r="L204" s="258" t="s">
        <v>161</v>
      </c>
      <c r="M204" s="257" t="s">
        <v>162</v>
      </c>
      <c r="N204" s="258" t="s">
        <v>161</v>
      </c>
      <c r="O204" s="257" t="s">
        <v>162</v>
      </c>
      <c r="P204" s="258" t="s">
        <v>161</v>
      </c>
      <c r="Q204" s="257" t="s">
        <v>162</v>
      </c>
      <c r="R204" s="258" t="s">
        <v>161</v>
      </c>
      <c r="S204" s="256"/>
    </row>
    <row r="205" spans="1:19">
      <c r="B205" s="184" t="s">
        <v>165</v>
      </c>
      <c r="C205" s="169">
        <v>11687.5</v>
      </c>
      <c r="D205" s="261">
        <v>11687.5</v>
      </c>
      <c r="E205" s="169">
        <v>11687.5</v>
      </c>
      <c r="F205" s="261">
        <v>23375</v>
      </c>
      <c r="G205" s="169">
        <v>11687.5</v>
      </c>
      <c r="H205" s="261">
        <v>35062.5</v>
      </c>
      <c r="I205" s="169">
        <v>11687.5</v>
      </c>
      <c r="J205" s="261">
        <v>46750</v>
      </c>
      <c r="K205" s="169">
        <v>11687.5</v>
      </c>
      <c r="L205" s="261">
        <v>58437.5</v>
      </c>
      <c r="M205" s="169">
        <v>11775</v>
      </c>
      <c r="N205" s="261">
        <v>70212.5</v>
      </c>
      <c r="O205" s="169">
        <v>11875</v>
      </c>
      <c r="P205" s="261">
        <v>82087.5</v>
      </c>
      <c r="Q205" s="169">
        <v>11875</v>
      </c>
      <c r="R205" s="261">
        <v>93962.5</v>
      </c>
      <c r="S205" s="288" t="s">
        <v>165</v>
      </c>
    </row>
    <row r="206" spans="1:19">
      <c r="B206" s="184" t="s">
        <v>166</v>
      </c>
      <c r="C206" s="169">
        <v>900</v>
      </c>
      <c r="D206" s="261">
        <v>900</v>
      </c>
      <c r="E206" s="169">
        <v>900</v>
      </c>
      <c r="F206" s="261">
        <v>1800</v>
      </c>
      <c r="G206" s="169">
        <v>900</v>
      </c>
      <c r="H206" s="261">
        <v>2700</v>
      </c>
      <c r="I206" s="169">
        <v>900</v>
      </c>
      <c r="J206" s="261">
        <v>3600</v>
      </c>
      <c r="K206" s="169">
        <v>900</v>
      </c>
      <c r="L206" s="261">
        <v>4500</v>
      </c>
      <c r="M206" s="169">
        <v>900</v>
      </c>
      <c r="N206" s="261">
        <v>5400</v>
      </c>
      <c r="O206" s="169">
        <v>900</v>
      </c>
      <c r="P206" s="261">
        <v>6300</v>
      </c>
      <c r="Q206" s="169">
        <v>900</v>
      </c>
      <c r="R206" s="261">
        <v>7200</v>
      </c>
      <c r="S206" s="288" t="s">
        <v>166</v>
      </c>
    </row>
    <row r="207" spans="1:19" ht="13.5" thickBot="1">
      <c r="B207" s="262" t="s">
        <v>195</v>
      </c>
      <c r="C207" s="263">
        <f>+C205+C206</f>
        <v>12587.5</v>
      </c>
      <c r="D207" s="263">
        <f t="shared" ref="D207:R207" si="101">+D205+D206</f>
        <v>12587.5</v>
      </c>
      <c r="E207" s="263">
        <f t="shared" si="101"/>
        <v>12587.5</v>
      </c>
      <c r="F207" s="263">
        <f t="shared" si="101"/>
        <v>25175</v>
      </c>
      <c r="G207" s="263">
        <f t="shared" si="101"/>
        <v>12587.5</v>
      </c>
      <c r="H207" s="263">
        <f t="shared" si="101"/>
        <v>37762.5</v>
      </c>
      <c r="I207" s="263">
        <f t="shared" si="101"/>
        <v>12587.5</v>
      </c>
      <c r="J207" s="263">
        <f t="shared" si="101"/>
        <v>50350</v>
      </c>
      <c r="K207" s="263">
        <f t="shared" si="101"/>
        <v>12587.5</v>
      </c>
      <c r="L207" s="263">
        <f t="shared" si="101"/>
        <v>62937.5</v>
      </c>
      <c r="M207" s="263">
        <f t="shared" si="101"/>
        <v>12675</v>
      </c>
      <c r="N207" s="263">
        <f t="shared" si="101"/>
        <v>75612.5</v>
      </c>
      <c r="O207" s="263">
        <f t="shared" si="101"/>
        <v>12775</v>
      </c>
      <c r="P207" s="263">
        <f t="shared" si="101"/>
        <v>88387.5</v>
      </c>
      <c r="Q207" s="263">
        <f t="shared" si="101"/>
        <v>12775</v>
      </c>
      <c r="R207" s="263">
        <f t="shared" si="101"/>
        <v>101162.5</v>
      </c>
      <c r="S207" s="262" t="s">
        <v>195</v>
      </c>
    </row>
    <row r="208" spans="1:19">
      <c r="B208" s="184" t="s">
        <v>196</v>
      </c>
      <c r="C208" s="169">
        <v>2500</v>
      </c>
      <c r="D208" s="261">
        <v>2500</v>
      </c>
      <c r="E208" s="169">
        <v>2500</v>
      </c>
      <c r="F208" s="261">
        <v>5000</v>
      </c>
      <c r="G208" s="169">
        <v>2500</v>
      </c>
      <c r="H208" s="261">
        <v>7500</v>
      </c>
      <c r="I208" s="169">
        <v>2500</v>
      </c>
      <c r="J208" s="261">
        <v>10000</v>
      </c>
      <c r="K208" s="169">
        <v>2536.29</v>
      </c>
      <c r="L208" s="261">
        <v>12536.29</v>
      </c>
      <c r="M208" s="169">
        <v>2589.7600000000002</v>
      </c>
      <c r="N208" s="261">
        <v>15126.05</v>
      </c>
      <c r="O208" s="169">
        <v>2575</v>
      </c>
      <c r="P208" s="261">
        <v>17701.05</v>
      </c>
      <c r="Q208" s="169">
        <v>2575</v>
      </c>
      <c r="R208" s="261">
        <v>20276.05</v>
      </c>
      <c r="S208" s="288" t="s">
        <v>196</v>
      </c>
    </row>
    <row r="209" spans="1:19">
      <c r="B209" s="184" t="s">
        <v>135</v>
      </c>
      <c r="C209" s="169">
        <f>+C207+C208</f>
        <v>15087.5</v>
      </c>
      <c r="D209" s="169">
        <f t="shared" ref="D209:R209" si="102">+D207+D208</f>
        <v>15087.5</v>
      </c>
      <c r="E209" s="169">
        <f t="shared" si="102"/>
        <v>15087.5</v>
      </c>
      <c r="F209" s="169">
        <f t="shared" si="102"/>
        <v>30175</v>
      </c>
      <c r="G209" s="169">
        <f t="shared" si="102"/>
        <v>15087.5</v>
      </c>
      <c r="H209" s="169">
        <f t="shared" si="102"/>
        <v>45262.5</v>
      </c>
      <c r="I209" s="169">
        <f t="shared" si="102"/>
        <v>15087.5</v>
      </c>
      <c r="J209" s="169">
        <f t="shared" si="102"/>
        <v>60350</v>
      </c>
      <c r="K209" s="169">
        <f t="shared" si="102"/>
        <v>15123.79</v>
      </c>
      <c r="L209" s="169">
        <f t="shared" si="102"/>
        <v>75473.790000000008</v>
      </c>
      <c r="M209" s="169">
        <f t="shared" si="102"/>
        <v>15264.76</v>
      </c>
      <c r="N209" s="169">
        <f t="shared" si="102"/>
        <v>90738.55</v>
      </c>
      <c r="O209" s="169">
        <f t="shared" si="102"/>
        <v>15350</v>
      </c>
      <c r="P209" s="169">
        <f t="shared" si="102"/>
        <v>106088.55</v>
      </c>
      <c r="Q209" s="169">
        <f t="shared" si="102"/>
        <v>15350</v>
      </c>
      <c r="R209" s="169">
        <f t="shared" si="102"/>
        <v>121438.55</v>
      </c>
      <c r="S209" s="288" t="s">
        <v>135</v>
      </c>
    </row>
    <row r="211" spans="1:19" s="29" customFormat="1" ht="6.95" customHeight="1">
      <c r="A211" s="4"/>
      <c r="B211" s="4"/>
      <c r="C211" s="4"/>
      <c r="D211" s="3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</sheetData>
  <mergeCells count="18">
    <mergeCell ref="B82:J82"/>
    <mergeCell ref="B125:J125"/>
    <mergeCell ref="B57:J57"/>
    <mergeCell ref="B64:J64"/>
    <mergeCell ref="B148:J148"/>
    <mergeCell ref="B73:J73"/>
    <mergeCell ref="B172:J172"/>
    <mergeCell ref="B136:J136"/>
    <mergeCell ref="B159:J159"/>
    <mergeCell ref="B183:J183"/>
    <mergeCell ref="O196:P196"/>
    <mergeCell ref="Q196:R196"/>
    <mergeCell ref="C196:D196"/>
    <mergeCell ref="E196:F196"/>
    <mergeCell ref="G196:H196"/>
    <mergeCell ref="I196:J196"/>
    <mergeCell ref="K196:L196"/>
    <mergeCell ref="M196:N196"/>
  </mergeCells>
  <conditionalFormatting sqref="C4:C6 C9:C17 C20 D4:J7 C128:J133 C139:I144 D127:J127 D109:K109 D123:K123 K110:K122 D98:J106 F94 H94 J94 K88:K93 C90:C94 C49 D36:J49 D9:J22 K24:K47 D108:J108 C85:J88 C91:J93 D54:K54">
    <cfRule type="cellIs" dxfId="107" priority="415" operator="lessThan">
      <formula>0</formula>
    </cfRule>
  </conditionalFormatting>
  <conditionalFormatting sqref="C7">
    <cfRule type="cellIs" dxfId="106" priority="406" operator="lessThan">
      <formula>0</formula>
    </cfRule>
  </conditionalFormatting>
  <conditionalFormatting sqref="C7">
    <cfRule type="cellIs" dxfId="105" priority="407" operator="lessThan">
      <formula>0</formula>
    </cfRule>
  </conditionalFormatting>
  <conditionalFormatting sqref="C18">
    <cfRule type="cellIs" dxfId="104" priority="405" operator="lessThan">
      <formula>0</formula>
    </cfRule>
  </conditionalFormatting>
  <conditionalFormatting sqref="C18">
    <cfRule type="cellIs" dxfId="103" priority="404" operator="lessThan">
      <formula>0</formula>
    </cfRule>
  </conditionalFormatting>
  <conditionalFormatting sqref="C22 C54 C24:C28">
    <cfRule type="cellIs" dxfId="102" priority="399" operator="lessThan">
      <formula>0</formula>
    </cfRule>
  </conditionalFormatting>
  <conditionalFormatting sqref="C22 C54 C24:C28">
    <cfRule type="cellIs" dxfId="101" priority="398" operator="lessThan">
      <formula>0</formula>
    </cfRule>
  </conditionalFormatting>
  <conditionalFormatting sqref="C19">
    <cfRule type="cellIs" dxfId="100" priority="403" operator="lessThan">
      <formula>0</formula>
    </cfRule>
  </conditionalFormatting>
  <conditionalFormatting sqref="C19">
    <cfRule type="cellIs" dxfId="99" priority="402" operator="lessThan">
      <formula>0</formula>
    </cfRule>
  </conditionalFormatting>
  <conditionalFormatting sqref="C21">
    <cfRule type="cellIs" dxfId="98" priority="401" operator="lessThan">
      <formula>0</formula>
    </cfRule>
  </conditionalFormatting>
  <conditionalFormatting sqref="C21">
    <cfRule type="cellIs" dxfId="97" priority="400" operator="lessThan">
      <formula>0</formula>
    </cfRule>
  </conditionalFormatting>
  <conditionalFormatting sqref="C127">
    <cfRule type="cellIs" dxfId="96" priority="353" operator="lessThan">
      <formula>0</formula>
    </cfRule>
  </conditionalFormatting>
  <conditionalFormatting sqref="C174:J174">
    <cfRule type="cellIs" dxfId="95" priority="295" operator="lessThan">
      <formula>0</formula>
    </cfRule>
  </conditionalFormatting>
  <conditionalFormatting sqref="C150">
    <cfRule type="cellIs" dxfId="94" priority="299" operator="lessThan">
      <formula>0</formula>
    </cfRule>
  </conditionalFormatting>
  <conditionalFormatting sqref="C108:C109 C123">
    <cfRule type="cellIs" dxfId="93" priority="259" operator="lessThan">
      <formula>0</formula>
    </cfRule>
  </conditionalFormatting>
  <conditionalFormatting sqref="C108:C109 C123">
    <cfRule type="cellIs" dxfId="92" priority="260" operator="lessThan">
      <formula>0</formula>
    </cfRule>
  </conditionalFormatting>
  <conditionalFormatting sqref="C98:C106">
    <cfRule type="cellIs" dxfId="91" priority="252" operator="lessThan">
      <formula>0</formula>
    </cfRule>
  </conditionalFormatting>
  <conditionalFormatting sqref="C146:J146">
    <cfRule type="cellIs" dxfId="90" priority="234" operator="lessThan">
      <formula>0</formula>
    </cfRule>
  </conditionalFormatting>
  <conditionalFormatting sqref="C138">
    <cfRule type="cellIs" dxfId="89" priority="240" operator="lessThan">
      <formula>0</formula>
    </cfRule>
  </conditionalFormatting>
  <conditionalFormatting sqref="C162:J162">
    <cfRule type="cellIs" dxfId="88" priority="227" operator="lessThan">
      <formula>0</formula>
    </cfRule>
  </conditionalFormatting>
  <conditionalFormatting sqref="C161">
    <cfRule type="cellIs" dxfId="87" priority="226" operator="lessThan">
      <formula>0</formula>
    </cfRule>
  </conditionalFormatting>
  <conditionalFormatting sqref="C185:J185">
    <cfRule type="cellIs" dxfId="86" priority="213" operator="lessThan">
      <formula>0</formula>
    </cfRule>
  </conditionalFormatting>
  <conditionalFormatting sqref="C186:J186">
    <cfRule type="cellIs" dxfId="85" priority="211" operator="lessThan">
      <formula>0</formula>
    </cfRule>
  </conditionalFormatting>
  <conditionalFormatting sqref="B170:J170">
    <cfRule type="cellIs" dxfId="84" priority="207" operator="lessThan">
      <formula>0</formula>
    </cfRule>
  </conditionalFormatting>
  <conditionalFormatting sqref="B55:J55">
    <cfRule type="cellIs" dxfId="83" priority="210" operator="lessThan">
      <formula>0</formula>
    </cfRule>
  </conditionalFormatting>
  <conditionalFormatting sqref="B124:J124">
    <cfRule type="cellIs" dxfId="82" priority="209" operator="lessThan">
      <formula>0</formula>
    </cfRule>
  </conditionalFormatting>
  <conditionalFormatting sqref="B147:J147">
    <cfRule type="cellIs" dxfId="81" priority="208" operator="lessThan">
      <formula>0</formula>
    </cfRule>
  </conditionalFormatting>
  <conditionalFormatting sqref="B194:J194">
    <cfRule type="cellIs" dxfId="80" priority="206" operator="lessThan">
      <formula>0</formula>
    </cfRule>
  </conditionalFormatting>
  <conditionalFormatting sqref="B211:J211">
    <cfRule type="cellIs" dxfId="79" priority="204" operator="lessThan">
      <formula>0</formula>
    </cfRule>
  </conditionalFormatting>
  <conditionalFormatting sqref="B71:J71">
    <cfRule type="cellIs" dxfId="78" priority="203" operator="lessThan">
      <formula>0</formula>
    </cfRule>
  </conditionalFormatting>
  <conditionalFormatting sqref="B95:J95">
    <cfRule type="cellIs" dxfId="77" priority="202" operator="lessThan">
      <formula>0</formula>
    </cfRule>
  </conditionalFormatting>
  <conditionalFormatting sqref="I31:I34">
    <cfRule type="cellIs" dxfId="76" priority="140" operator="lessThan">
      <formula>0</formula>
    </cfRule>
  </conditionalFormatting>
  <conditionalFormatting sqref="J31:J34">
    <cfRule type="cellIs" dxfId="75" priority="138" operator="lessThan">
      <formula>0</formula>
    </cfRule>
  </conditionalFormatting>
  <conditionalFormatting sqref="C31:C33 C36:C44 C47">
    <cfRule type="cellIs" dxfId="74" priority="189" operator="lessThan">
      <formula>0</formula>
    </cfRule>
  </conditionalFormatting>
  <conditionalFormatting sqref="C34">
    <cfRule type="cellIs" dxfId="73" priority="187" operator="lessThan">
      <formula>0</formula>
    </cfRule>
  </conditionalFormatting>
  <conditionalFormatting sqref="C34">
    <cfRule type="cellIs" dxfId="72" priority="188" operator="lessThan">
      <formula>0</formula>
    </cfRule>
  </conditionalFormatting>
  <conditionalFormatting sqref="C45">
    <cfRule type="cellIs" dxfId="71" priority="186" operator="lessThan">
      <formula>0</formula>
    </cfRule>
  </conditionalFormatting>
  <conditionalFormatting sqref="C45">
    <cfRule type="cellIs" dxfId="70" priority="185" operator="lessThan">
      <formula>0</formula>
    </cfRule>
  </conditionalFormatting>
  <conditionalFormatting sqref="C46">
    <cfRule type="cellIs" dxfId="69" priority="184" operator="lessThan">
      <formula>0</formula>
    </cfRule>
  </conditionalFormatting>
  <conditionalFormatting sqref="C46">
    <cfRule type="cellIs" dxfId="68" priority="183" operator="lessThan">
      <formula>0</formula>
    </cfRule>
  </conditionalFormatting>
  <conditionalFormatting sqref="C48">
    <cfRule type="cellIs" dxfId="67" priority="182" operator="lessThan">
      <formula>0</formula>
    </cfRule>
  </conditionalFormatting>
  <conditionalFormatting sqref="C48">
    <cfRule type="cellIs" dxfId="66" priority="181" operator="lessThan">
      <formula>0</formula>
    </cfRule>
  </conditionalFormatting>
  <conditionalFormatting sqref="H31:H34">
    <cfRule type="cellIs" dxfId="65" priority="141" operator="lessThan">
      <formula>0</formula>
    </cfRule>
  </conditionalFormatting>
  <conditionalFormatting sqref="D31:D34">
    <cfRule type="cellIs" dxfId="64" priority="145" operator="lessThan">
      <formula>0</formula>
    </cfRule>
  </conditionalFormatting>
  <conditionalFormatting sqref="E31:E34">
    <cfRule type="cellIs" dxfId="63" priority="144" operator="lessThan">
      <formula>0</formula>
    </cfRule>
  </conditionalFormatting>
  <conditionalFormatting sqref="F31:F34">
    <cfRule type="cellIs" dxfId="62" priority="143" operator="lessThan">
      <formula>0</formula>
    </cfRule>
  </conditionalFormatting>
  <conditionalFormatting sqref="G31:G34">
    <cfRule type="cellIs" dxfId="61" priority="142" operator="lessThan">
      <formula>0</formula>
    </cfRule>
  </conditionalFormatting>
  <conditionalFormatting sqref="J139:J144">
    <cfRule type="cellIs" dxfId="60" priority="137" operator="lessThan">
      <formula>0</formula>
    </cfRule>
  </conditionalFormatting>
  <conditionalFormatting sqref="C187:J191">
    <cfRule type="cellIs" dxfId="59" priority="130" operator="lessThan">
      <formula>0</formula>
    </cfRule>
  </conditionalFormatting>
  <conditionalFormatting sqref="C151:C156">
    <cfRule type="cellIs" dxfId="58" priority="134" operator="lessThan">
      <formula>0</formula>
    </cfRule>
  </conditionalFormatting>
  <conditionalFormatting sqref="C163:J167">
    <cfRule type="cellIs" dxfId="57" priority="132" operator="lessThan">
      <formula>0</formula>
    </cfRule>
  </conditionalFormatting>
  <conditionalFormatting sqref="C175:J180">
    <cfRule type="cellIs" dxfId="56" priority="131" operator="lessThan">
      <formula>0</formula>
    </cfRule>
  </conditionalFormatting>
  <conditionalFormatting sqref="D94">
    <cfRule type="cellIs" dxfId="55" priority="109" operator="lessThan">
      <formula>0</formula>
    </cfRule>
  </conditionalFormatting>
  <conditionalFormatting sqref="E94">
    <cfRule type="cellIs" dxfId="54" priority="108" operator="lessThan">
      <formula>0</formula>
    </cfRule>
  </conditionalFormatting>
  <conditionalFormatting sqref="G94">
    <cfRule type="cellIs" dxfId="53" priority="106" operator="lessThan">
      <formula>0</formula>
    </cfRule>
  </conditionalFormatting>
  <conditionalFormatting sqref="I94">
    <cfRule type="cellIs" dxfId="52" priority="104" operator="lessThan">
      <formula>0</formula>
    </cfRule>
  </conditionalFormatting>
  <conditionalFormatting sqref="K94">
    <cfRule type="cellIs" dxfId="51" priority="102" operator="lessThan">
      <formula>0</formula>
    </cfRule>
  </conditionalFormatting>
  <conditionalFormatting sqref="D112:J120 D122:J122">
    <cfRule type="cellIs" dxfId="50" priority="94" operator="lessThan">
      <formula>0</formula>
    </cfRule>
  </conditionalFormatting>
  <conditionalFormatting sqref="C122">
    <cfRule type="cellIs" dxfId="49" priority="92" operator="lessThan">
      <formula>0</formula>
    </cfRule>
  </conditionalFormatting>
  <conditionalFormatting sqref="C122">
    <cfRule type="cellIs" dxfId="48" priority="93" operator="lessThan">
      <formula>0</formula>
    </cfRule>
  </conditionalFormatting>
  <conditionalFormatting sqref="C112:C120">
    <cfRule type="cellIs" dxfId="47" priority="91" operator="lessThan">
      <formula>0</formula>
    </cfRule>
  </conditionalFormatting>
  <conditionalFormatting sqref="D168:J168">
    <cfRule type="cellIs" dxfId="46" priority="84" operator="lessThan">
      <formula>0</formula>
    </cfRule>
  </conditionalFormatting>
  <conditionalFormatting sqref="C157">
    <cfRule type="cellIs" dxfId="45" priority="87" operator="lessThan">
      <formula>0</formula>
    </cfRule>
  </conditionalFormatting>
  <conditionalFormatting sqref="D157:J157">
    <cfRule type="cellIs" dxfId="44" priority="86" operator="lessThan">
      <formula>0</formula>
    </cfRule>
  </conditionalFormatting>
  <conditionalFormatting sqref="D181:J181">
    <cfRule type="cellIs" dxfId="43" priority="82" operator="lessThan">
      <formula>0</formula>
    </cfRule>
  </conditionalFormatting>
  <conditionalFormatting sqref="C168">
    <cfRule type="cellIs" dxfId="42" priority="85" operator="lessThan">
      <formula>0</formula>
    </cfRule>
  </conditionalFormatting>
  <conditionalFormatting sqref="D192:J192">
    <cfRule type="cellIs" dxfId="41" priority="80" operator="lessThan">
      <formula>0</formula>
    </cfRule>
  </conditionalFormatting>
  <conditionalFormatting sqref="C181">
    <cfRule type="cellIs" dxfId="40" priority="83" operator="lessThan">
      <formula>0</formula>
    </cfRule>
  </conditionalFormatting>
  <conditionalFormatting sqref="D145:J145">
    <cfRule type="cellIs" dxfId="39" priority="78" operator="lessThan">
      <formula>0</formula>
    </cfRule>
  </conditionalFormatting>
  <conditionalFormatting sqref="C192">
    <cfRule type="cellIs" dxfId="38" priority="81" operator="lessThan">
      <formula>0</formula>
    </cfRule>
  </conditionalFormatting>
  <conditionalFormatting sqref="D134:J134">
    <cfRule type="cellIs" dxfId="37" priority="76" operator="lessThan">
      <formula>0</formula>
    </cfRule>
  </conditionalFormatting>
  <conditionalFormatting sqref="C145">
    <cfRule type="cellIs" dxfId="36" priority="79" operator="lessThan">
      <formula>0</formula>
    </cfRule>
  </conditionalFormatting>
  <conditionalFormatting sqref="C76:J76 C78:J78">
    <cfRule type="cellIs" dxfId="35" priority="70" operator="lessThan">
      <formula>0</formula>
    </cfRule>
  </conditionalFormatting>
  <conditionalFormatting sqref="C134">
    <cfRule type="cellIs" dxfId="34" priority="77" operator="lessThan">
      <formula>0</formula>
    </cfRule>
  </conditionalFormatting>
  <conditionalFormatting sqref="C121">
    <cfRule type="cellIs" dxfId="33" priority="74" operator="lessThan">
      <formula>0</formula>
    </cfRule>
  </conditionalFormatting>
  <conditionalFormatting sqref="B80:J80">
    <cfRule type="cellIs" dxfId="32" priority="71" operator="lessThan">
      <formula>0</formula>
    </cfRule>
  </conditionalFormatting>
  <conditionalFormatting sqref="D138:J138">
    <cfRule type="cellIs" dxfId="31" priority="67" operator="lessThan">
      <formula>0</formula>
    </cfRule>
  </conditionalFormatting>
  <conditionalFormatting sqref="K107">
    <cfRule type="cellIs" dxfId="30" priority="66" operator="lessThan">
      <formula>0</formula>
    </cfRule>
  </conditionalFormatting>
  <conditionalFormatting sqref="D121:J121">
    <cfRule type="cellIs" dxfId="29" priority="63" operator="lessThan">
      <formula>0</formula>
    </cfRule>
  </conditionalFormatting>
  <conditionalFormatting sqref="C107">
    <cfRule type="cellIs" dxfId="28" priority="65" operator="lessThan">
      <formula>0</formula>
    </cfRule>
  </conditionalFormatting>
  <conditionalFormatting sqref="D107:J107">
    <cfRule type="cellIs" dxfId="27" priority="62" operator="lessThan">
      <formula>0</formula>
    </cfRule>
  </conditionalFormatting>
  <conditionalFormatting sqref="D155:J155">
    <cfRule type="cellIs" dxfId="26" priority="49" operator="lessThan">
      <formula>0</formula>
    </cfRule>
  </conditionalFormatting>
  <conditionalFormatting sqref="D153:J153">
    <cfRule type="cellIs" dxfId="25" priority="43" operator="lessThan">
      <formula>0</formula>
    </cfRule>
  </conditionalFormatting>
  <conditionalFormatting sqref="D154:J154">
    <cfRule type="cellIs" dxfId="24" priority="50" operator="lessThan">
      <formula>0</formula>
    </cfRule>
  </conditionalFormatting>
  <conditionalFormatting sqref="D156:J156">
    <cfRule type="cellIs" dxfId="23" priority="48" operator="lessThan">
      <formula>0</formula>
    </cfRule>
  </conditionalFormatting>
  <conditionalFormatting sqref="D150:J150">
    <cfRule type="cellIs" dxfId="22" priority="46" operator="lessThan">
      <formula>0</formula>
    </cfRule>
  </conditionalFormatting>
  <conditionalFormatting sqref="D25:J25">
    <cfRule type="cellIs" dxfId="21" priority="38" operator="lessThan">
      <formula>0</formula>
    </cfRule>
  </conditionalFormatting>
  <conditionalFormatting sqref="D151:J151">
    <cfRule type="cellIs" dxfId="20" priority="45" operator="lessThan">
      <formula>0</formula>
    </cfRule>
  </conditionalFormatting>
  <conditionalFormatting sqref="D152:J152">
    <cfRule type="cellIs" dxfId="19" priority="44" operator="lessThan">
      <formula>0</formula>
    </cfRule>
  </conditionalFormatting>
  <conditionalFormatting sqref="D161:J161">
    <cfRule type="cellIs" dxfId="18" priority="42" operator="lessThan">
      <formula>0</formula>
    </cfRule>
  </conditionalFormatting>
  <conditionalFormatting sqref="D25:J25">
    <cfRule type="cellIs" dxfId="17" priority="39" operator="lessThan">
      <formula>0</formula>
    </cfRule>
  </conditionalFormatting>
  <conditionalFormatting sqref="D28:J28">
    <cfRule type="cellIs" dxfId="16" priority="37" operator="lessThan">
      <formula>0</formula>
    </cfRule>
  </conditionalFormatting>
  <conditionalFormatting sqref="D28:J28">
    <cfRule type="cellIs" dxfId="15" priority="36" operator="lessThan">
      <formula>0</formula>
    </cfRule>
  </conditionalFormatting>
  <conditionalFormatting sqref="D24:J24">
    <cfRule type="cellIs" dxfId="14" priority="35" operator="lessThan">
      <formula>0</formula>
    </cfRule>
  </conditionalFormatting>
  <conditionalFormatting sqref="D24:J24">
    <cfRule type="cellIs" dxfId="13" priority="34" operator="lessThan">
      <formula>0</formula>
    </cfRule>
  </conditionalFormatting>
  <conditionalFormatting sqref="D27:J27">
    <cfRule type="cellIs" dxfId="12" priority="31" operator="lessThan">
      <formula>0</formula>
    </cfRule>
  </conditionalFormatting>
  <conditionalFormatting sqref="D27:J27">
    <cfRule type="cellIs" dxfId="11" priority="30" operator="lessThan">
      <formula>0</formula>
    </cfRule>
  </conditionalFormatting>
  <conditionalFormatting sqref="D26:J26">
    <cfRule type="cellIs" dxfId="10" priority="29" operator="lessThan">
      <formula>0</formula>
    </cfRule>
  </conditionalFormatting>
  <conditionalFormatting sqref="D26:J26">
    <cfRule type="cellIs" dxfId="9" priority="28" operator="lessThan">
      <formula>0</formula>
    </cfRule>
  </conditionalFormatting>
  <conditionalFormatting sqref="K51:K53">
    <cfRule type="cellIs" dxfId="8" priority="27" operator="lessThan">
      <formula>0</formula>
    </cfRule>
  </conditionalFormatting>
  <conditionalFormatting sqref="C51:C53">
    <cfRule type="cellIs" dxfId="7" priority="26" operator="lessThan">
      <formula>0</formula>
    </cfRule>
  </conditionalFormatting>
  <conditionalFormatting sqref="C51:C53">
    <cfRule type="cellIs" dxfId="6" priority="25" operator="lessThan">
      <formula>0</formula>
    </cfRule>
  </conditionalFormatting>
  <conditionalFormatting sqref="D52:J52">
    <cfRule type="cellIs" dxfId="5" priority="8" operator="lessThan">
      <formula>0</formula>
    </cfRule>
  </conditionalFormatting>
  <conditionalFormatting sqref="D52:J52">
    <cfRule type="cellIs" dxfId="4" priority="7" operator="lessThan">
      <formula>0</formula>
    </cfRule>
  </conditionalFormatting>
  <conditionalFormatting sqref="D51:J51">
    <cfRule type="cellIs" dxfId="3" priority="16" operator="lessThan">
      <formula>0</formula>
    </cfRule>
  </conditionalFormatting>
  <conditionalFormatting sqref="D51:J51">
    <cfRule type="cellIs" dxfId="2" priority="15" operator="lessThan">
      <formula>0</formula>
    </cfRule>
  </conditionalFormatting>
  <conditionalFormatting sqref="D53:J53">
    <cfRule type="cellIs" dxfId="1" priority="2" operator="lessThan">
      <formula>0</formula>
    </cfRule>
  </conditionalFormatting>
  <conditionalFormatting sqref="D53:J5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workbookViewId="0">
      <selection activeCell="C20" sqref="C20"/>
    </sheetView>
  </sheetViews>
  <sheetFormatPr defaultColWidth="10.6640625" defaultRowHeight="12.75"/>
  <cols>
    <col min="1" max="1" width="46.33203125" style="117" bestFit="1" customWidth="1"/>
    <col min="2" max="33" width="12.33203125" style="117" customWidth="1"/>
    <col min="34" max="16384" width="10.6640625" style="117"/>
  </cols>
  <sheetData>
    <row r="1" spans="1:33" ht="15" customHeight="1">
      <c r="A1" s="116" t="s">
        <v>451</v>
      </c>
      <c r="B1" s="116"/>
      <c r="C1" s="116"/>
      <c r="D1" s="116"/>
      <c r="E1" s="116"/>
    </row>
    <row r="2" spans="1:33" ht="15.75" customHeight="1">
      <c r="A2" s="118" t="s">
        <v>168</v>
      </c>
      <c r="B2" s="118"/>
      <c r="C2" s="118"/>
      <c r="D2" s="118"/>
      <c r="E2" s="118"/>
    </row>
    <row r="3" spans="1:33" ht="15" customHeight="1" thickBot="1">
      <c r="A3" s="116" t="s">
        <v>19</v>
      </c>
      <c r="B3" s="116"/>
      <c r="C3" s="116"/>
      <c r="D3" s="116"/>
      <c r="E3" s="116"/>
    </row>
    <row r="4" spans="1:33" ht="15" customHeight="1" thickBot="1">
      <c r="A4" s="116" t="s">
        <v>35</v>
      </c>
      <c r="B4" s="680" t="s">
        <v>153</v>
      </c>
      <c r="C4" s="681"/>
      <c r="D4" s="681"/>
      <c r="E4" s="682"/>
      <c r="F4" s="680" t="s">
        <v>154</v>
      </c>
      <c r="G4" s="681"/>
      <c r="H4" s="681"/>
      <c r="I4" s="682"/>
      <c r="J4" s="680" t="s">
        <v>155</v>
      </c>
      <c r="K4" s="681"/>
      <c r="L4" s="681"/>
      <c r="M4" s="682"/>
      <c r="N4" s="680" t="s">
        <v>156</v>
      </c>
      <c r="O4" s="681"/>
      <c r="P4" s="681"/>
      <c r="Q4" s="682"/>
      <c r="R4" s="680" t="s">
        <v>157</v>
      </c>
      <c r="S4" s="681"/>
      <c r="T4" s="681"/>
      <c r="U4" s="682"/>
      <c r="V4" s="680" t="s">
        <v>158</v>
      </c>
      <c r="W4" s="681"/>
      <c r="X4" s="681"/>
      <c r="Y4" s="682"/>
      <c r="Z4" s="680" t="s">
        <v>159</v>
      </c>
      <c r="AA4" s="681"/>
      <c r="AB4" s="681"/>
      <c r="AC4" s="682"/>
      <c r="AD4" s="680" t="s">
        <v>160</v>
      </c>
      <c r="AE4" s="681"/>
      <c r="AF4" s="681"/>
      <c r="AG4" s="682"/>
    </row>
    <row r="5" spans="1:33" s="124" customFormat="1" ht="15" customHeight="1">
      <c r="A5" s="119"/>
      <c r="B5" s="120" t="s">
        <v>169</v>
      </c>
      <c r="C5" s="121" t="s">
        <v>169</v>
      </c>
      <c r="D5" s="121" t="s">
        <v>170</v>
      </c>
      <c r="E5" s="122" t="s">
        <v>170</v>
      </c>
      <c r="F5" s="123" t="s">
        <v>169</v>
      </c>
      <c r="G5" s="121" t="s">
        <v>169</v>
      </c>
      <c r="H5" s="121" t="s">
        <v>170</v>
      </c>
      <c r="I5" s="122" t="s">
        <v>170</v>
      </c>
      <c r="J5" s="123" t="s">
        <v>169</v>
      </c>
      <c r="K5" s="121" t="s">
        <v>169</v>
      </c>
      <c r="L5" s="121" t="s">
        <v>170</v>
      </c>
      <c r="M5" s="122" t="s">
        <v>170</v>
      </c>
      <c r="N5" s="123" t="s">
        <v>169</v>
      </c>
      <c r="O5" s="121" t="s">
        <v>169</v>
      </c>
      <c r="P5" s="121" t="s">
        <v>170</v>
      </c>
      <c r="Q5" s="122" t="s">
        <v>170</v>
      </c>
      <c r="R5" s="123" t="s">
        <v>169</v>
      </c>
      <c r="S5" s="121" t="s">
        <v>169</v>
      </c>
      <c r="T5" s="121" t="s">
        <v>170</v>
      </c>
      <c r="U5" s="122" t="s">
        <v>170</v>
      </c>
      <c r="V5" s="123" t="s">
        <v>169</v>
      </c>
      <c r="W5" s="121" t="s">
        <v>169</v>
      </c>
      <c r="X5" s="121" t="s">
        <v>170</v>
      </c>
      <c r="Y5" s="122" t="s">
        <v>170</v>
      </c>
      <c r="Z5" s="123" t="s">
        <v>169</v>
      </c>
      <c r="AA5" s="121" t="s">
        <v>169</v>
      </c>
      <c r="AB5" s="121" t="s">
        <v>170</v>
      </c>
      <c r="AC5" s="122" t="s">
        <v>170</v>
      </c>
      <c r="AD5" s="123" t="s">
        <v>169</v>
      </c>
      <c r="AE5" s="121" t="s">
        <v>169</v>
      </c>
      <c r="AF5" s="121" t="s">
        <v>170</v>
      </c>
      <c r="AG5" s="122" t="s">
        <v>170</v>
      </c>
    </row>
    <row r="6" spans="1:33" s="124" customFormat="1" ht="15" customHeight="1">
      <c r="A6" s="125"/>
      <c r="B6" s="126" t="s">
        <v>171</v>
      </c>
      <c r="C6" s="127" t="s">
        <v>152</v>
      </c>
      <c r="D6" s="127" t="s">
        <v>171</v>
      </c>
      <c r="E6" s="128" t="s">
        <v>152</v>
      </c>
      <c r="F6" s="129" t="s">
        <v>171</v>
      </c>
      <c r="G6" s="127" t="s">
        <v>152</v>
      </c>
      <c r="H6" s="127" t="s">
        <v>171</v>
      </c>
      <c r="I6" s="128" t="s">
        <v>152</v>
      </c>
      <c r="J6" s="129" t="s">
        <v>171</v>
      </c>
      <c r="K6" s="127" t="s">
        <v>152</v>
      </c>
      <c r="L6" s="127" t="s">
        <v>171</v>
      </c>
      <c r="M6" s="128" t="s">
        <v>152</v>
      </c>
      <c r="N6" s="129" t="s">
        <v>171</v>
      </c>
      <c r="O6" s="127" t="s">
        <v>152</v>
      </c>
      <c r="P6" s="127" t="s">
        <v>171</v>
      </c>
      <c r="Q6" s="128" t="s">
        <v>152</v>
      </c>
      <c r="R6" s="129" t="s">
        <v>171</v>
      </c>
      <c r="S6" s="127" t="s">
        <v>152</v>
      </c>
      <c r="T6" s="127" t="s">
        <v>171</v>
      </c>
      <c r="U6" s="128" t="s">
        <v>152</v>
      </c>
      <c r="V6" s="129" t="s">
        <v>171</v>
      </c>
      <c r="W6" s="127" t="s">
        <v>152</v>
      </c>
      <c r="X6" s="127" t="s">
        <v>171</v>
      </c>
      <c r="Y6" s="128" t="s">
        <v>152</v>
      </c>
      <c r="Z6" s="129" t="s">
        <v>171</v>
      </c>
      <c r="AA6" s="127" t="s">
        <v>152</v>
      </c>
      <c r="AB6" s="127" t="s">
        <v>171</v>
      </c>
      <c r="AC6" s="128" t="s">
        <v>152</v>
      </c>
      <c r="AD6" s="129" t="s">
        <v>171</v>
      </c>
      <c r="AE6" s="127" t="s">
        <v>152</v>
      </c>
      <c r="AF6" s="127" t="s">
        <v>171</v>
      </c>
      <c r="AG6" s="128" t="s">
        <v>152</v>
      </c>
    </row>
    <row r="7" spans="1:33" s="124" customFormat="1" ht="15" customHeight="1">
      <c r="A7" s="130" t="s">
        <v>132</v>
      </c>
      <c r="B7" s="126"/>
      <c r="C7" s="127"/>
      <c r="D7" s="127"/>
      <c r="E7" s="128"/>
      <c r="F7" s="129"/>
      <c r="G7" s="127"/>
      <c r="H7" s="127"/>
      <c r="I7" s="128"/>
      <c r="J7" s="129"/>
      <c r="K7" s="127"/>
      <c r="L7" s="127"/>
      <c r="M7" s="128"/>
      <c r="N7" s="129"/>
      <c r="O7" s="127"/>
      <c r="P7" s="127"/>
      <c r="Q7" s="128"/>
      <c r="R7" s="129"/>
      <c r="S7" s="127"/>
      <c r="T7" s="127"/>
      <c r="U7" s="128"/>
      <c r="V7" s="129"/>
      <c r="W7" s="127"/>
      <c r="X7" s="127"/>
      <c r="Y7" s="128"/>
      <c r="Z7" s="129"/>
      <c r="AA7" s="127"/>
      <c r="AB7" s="127"/>
      <c r="AC7" s="128"/>
      <c r="AD7" s="129"/>
      <c r="AE7" s="127"/>
      <c r="AF7" s="127"/>
      <c r="AG7" s="128"/>
    </row>
    <row r="8" spans="1:33" s="124" customFormat="1" ht="15" customHeight="1">
      <c r="A8" s="59" t="s">
        <v>164</v>
      </c>
      <c r="B8" s="131">
        <v>11687.5</v>
      </c>
      <c r="C8" s="132">
        <v>0</v>
      </c>
      <c r="D8" s="132">
        <v>11687.5</v>
      </c>
      <c r="E8" s="133">
        <v>0</v>
      </c>
      <c r="F8" s="134">
        <v>11687.5</v>
      </c>
      <c r="G8" s="132">
        <v>0</v>
      </c>
      <c r="H8" s="132">
        <v>23375</v>
      </c>
      <c r="I8" s="133">
        <v>0</v>
      </c>
      <c r="J8" s="134">
        <v>11687.5</v>
      </c>
      <c r="K8" s="132">
        <v>0</v>
      </c>
      <c r="L8" s="132">
        <v>35062.5</v>
      </c>
      <c r="M8" s="133">
        <v>-800</v>
      </c>
      <c r="N8" s="134">
        <v>11687.5</v>
      </c>
      <c r="O8" s="132">
        <v>0</v>
      </c>
      <c r="P8" s="132">
        <v>46750</v>
      </c>
      <c r="Q8" s="133">
        <v>-1600</v>
      </c>
      <c r="R8" s="134">
        <v>11687.5</v>
      </c>
      <c r="S8" s="132">
        <v>0</v>
      </c>
      <c r="T8" s="132">
        <v>58437.5</v>
      </c>
      <c r="U8" s="133">
        <v>-2400</v>
      </c>
      <c r="V8" s="134">
        <v>11775</v>
      </c>
      <c r="W8" s="132">
        <v>0</v>
      </c>
      <c r="X8" s="132">
        <v>70212.5</v>
      </c>
      <c r="Y8" s="133">
        <v>-3200</v>
      </c>
      <c r="Z8" s="134">
        <v>11875</v>
      </c>
      <c r="AA8" s="132">
        <v>0</v>
      </c>
      <c r="AB8" s="132">
        <v>82087.5</v>
      </c>
      <c r="AC8" s="133">
        <v>-4000</v>
      </c>
      <c r="AD8" s="134">
        <v>11875</v>
      </c>
      <c r="AE8" s="132">
        <v>0</v>
      </c>
      <c r="AF8" s="132">
        <v>93962.5</v>
      </c>
      <c r="AG8" s="133">
        <v>-4800</v>
      </c>
    </row>
    <row r="9" spans="1:33" s="124" customFormat="1" ht="15" customHeight="1">
      <c r="A9" s="59" t="s">
        <v>36</v>
      </c>
      <c r="B9" s="131">
        <v>169607.54</v>
      </c>
      <c r="C9" s="132">
        <v>184892</v>
      </c>
      <c r="D9" s="132">
        <v>169607.54</v>
      </c>
      <c r="E9" s="133">
        <v>184892</v>
      </c>
      <c r="F9" s="134">
        <v>170882.84</v>
      </c>
      <c r="G9" s="132">
        <v>189304</v>
      </c>
      <c r="H9" s="132">
        <v>340490.38</v>
      </c>
      <c r="I9" s="133">
        <v>374196</v>
      </c>
      <c r="J9" s="134">
        <v>166748.79</v>
      </c>
      <c r="K9" s="132">
        <v>190231</v>
      </c>
      <c r="L9" s="132">
        <v>507239.17</v>
      </c>
      <c r="M9" s="133">
        <v>520697</v>
      </c>
      <c r="N9" s="134">
        <v>152517.18</v>
      </c>
      <c r="O9" s="132">
        <v>182535</v>
      </c>
      <c r="P9" s="132">
        <v>659756.35</v>
      </c>
      <c r="Q9" s="133">
        <v>660814</v>
      </c>
      <c r="R9" s="134">
        <v>171291.81</v>
      </c>
      <c r="S9" s="132">
        <v>178294</v>
      </c>
      <c r="T9" s="132">
        <v>831048.16</v>
      </c>
      <c r="U9" s="133">
        <v>796690</v>
      </c>
      <c r="V9" s="134">
        <v>174280.94</v>
      </c>
      <c r="W9" s="132">
        <v>178594</v>
      </c>
      <c r="X9" s="132">
        <v>1005329.1</v>
      </c>
      <c r="Y9" s="133">
        <v>931554</v>
      </c>
      <c r="Z9" s="134">
        <v>172896.37</v>
      </c>
      <c r="AA9" s="132">
        <v>182634</v>
      </c>
      <c r="AB9" s="132">
        <v>1178225.47</v>
      </c>
      <c r="AC9" s="133">
        <v>1070458</v>
      </c>
      <c r="AD9" s="134">
        <v>158435.38</v>
      </c>
      <c r="AE9" s="132">
        <v>193736</v>
      </c>
      <c r="AF9" s="132">
        <v>1336660.8500000001</v>
      </c>
      <c r="AG9" s="133">
        <v>1221776</v>
      </c>
    </row>
    <row r="10" spans="1:33" s="124" customFormat="1" ht="15" customHeight="1" thickBot="1">
      <c r="A10" s="59" t="s">
        <v>37</v>
      </c>
      <c r="B10" s="135">
        <v>20249.71</v>
      </c>
      <c r="C10" s="136">
        <v>1550</v>
      </c>
      <c r="D10" s="136">
        <v>20249.71</v>
      </c>
      <c r="E10" s="137">
        <v>1550</v>
      </c>
      <c r="F10" s="138">
        <v>19492.55</v>
      </c>
      <c r="G10" s="136">
        <v>1550</v>
      </c>
      <c r="H10" s="136">
        <v>39742.26</v>
      </c>
      <c r="I10" s="137">
        <v>3100</v>
      </c>
      <c r="J10" s="138">
        <v>15558.87</v>
      </c>
      <c r="K10" s="136">
        <v>4905</v>
      </c>
      <c r="L10" s="136">
        <v>55301.13</v>
      </c>
      <c r="M10" s="137">
        <v>6018</v>
      </c>
      <c r="N10" s="138">
        <v>16133</v>
      </c>
      <c r="O10" s="136">
        <v>1550</v>
      </c>
      <c r="P10" s="136">
        <v>71434.13</v>
      </c>
      <c r="Q10" s="137">
        <v>5581</v>
      </c>
      <c r="R10" s="138">
        <v>11464.91</v>
      </c>
      <c r="S10" s="136">
        <v>1550</v>
      </c>
      <c r="T10" s="136">
        <v>82899.039999999994</v>
      </c>
      <c r="U10" s="137">
        <v>5144</v>
      </c>
      <c r="V10" s="138">
        <v>13526.16</v>
      </c>
      <c r="W10" s="136">
        <v>4905</v>
      </c>
      <c r="X10" s="136">
        <v>96425.2</v>
      </c>
      <c r="Y10" s="137">
        <v>8062</v>
      </c>
      <c r="Z10" s="138">
        <v>12990.5</v>
      </c>
      <c r="AA10" s="136">
        <v>1700</v>
      </c>
      <c r="AB10" s="136">
        <v>109415.7</v>
      </c>
      <c r="AC10" s="137">
        <v>7775</v>
      </c>
      <c r="AD10" s="138">
        <v>14238.16</v>
      </c>
      <c r="AE10" s="136">
        <v>1700</v>
      </c>
      <c r="AF10" s="136">
        <v>123653.86</v>
      </c>
      <c r="AG10" s="137">
        <v>7488</v>
      </c>
    </row>
    <row r="11" spans="1:33" s="124" customFormat="1" ht="15" customHeight="1" thickBot="1">
      <c r="A11" s="139" t="s">
        <v>29</v>
      </c>
      <c r="B11" s="140">
        <f>+SUM(B8:B10)</f>
        <v>201544.75</v>
      </c>
      <c r="C11" s="140">
        <f t="shared" ref="C11:AG11" si="0">+SUM(C8:C10)</f>
        <v>186442</v>
      </c>
      <c r="D11" s="140">
        <f t="shared" si="0"/>
        <v>201544.75</v>
      </c>
      <c r="E11" s="140">
        <f t="shared" si="0"/>
        <v>186442</v>
      </c>
      <c r="F11" s="140">
        <f t="shared" si="0"/>
        <v>202062.88999999998</v>
      </c>
      <c r="G11" s="140">
        <f t="shared" si="0"/>
        <v>190854</v>
      </c>
      <c r="H11" s="140">
        <f t="shared" si="0"/>
        <v>403607.64</v>
      </c>
      <c r="I11" s="140">
        <f t="shared" si="0"/>
        <v>377296</v>
      </c>
      <c r="J11" s="140">
        <f t="shared" si="0"/>
        <v>193995.16</v>
      </c>
      <c r="K11" s="140">
        <f t="shared" si="0"/>
        <v>195136</v>
      </c>
      <c r="L11" s="140">
        <f t="shared" si="0"/>
        <v>597602.79999999993</v>
      </c>
      <c r="M11" s="140">
        <f t="shared" si="0"/>
        <v>525915</v>
      </c>
      <c r="N11" s="140">
        <f t="shared" si="0"/>
        <v>180337.68</v>
      </c>
      <c r="O11" s="140">
        <f t="shared" si="0"/>
        <v>184085</v>
      </c>
      <c r="P11" s="140">
        <f t="shared" si="0"/>
        <v>777940.47999999998</v>
      </c>
      <c r="Q11" s="140">
        <f t="shared" si="0"/>
        <v>664795</v>
      </c>
      <c r="R11" s="140">
        <f t="shared" si="0"/>
        <v>194444.22</v>
      </c>
      <c r="S11" s="140">
        <f t="shared" si="0"/>
        <v>179844</v>
      </c>
      <c r="T11" s="140">
        <f t="shared" si="0"/>
        <v>972384.70000000007</v>
      </c>
      <c r="U11" s="140">
        <f t="shared" si="0"/>
        <v>799434</v>
      </c>
      <c r="V11" s="140">
        <f t="shared" si="0"/>
        <v>199582.1</v>
      </c>
      <c r="W11" s="140">
        <f t="shared" si="0"/>
        <v>183499</v>
      </c>
      <c r="X11" s="140">
        <f t="shared" si="0"/>
        <v>1171966.8</v>
      </c>
      <c r="Y11" s="140">
        <f t="shared" si="0"/>
        <v>936416</v>
      </c>
      <c r="Z11" s="140">
        <f t="shared" si="0"/>
        <v>197761.87</v>
      </c>
      <c r="AA11" s="140">
        <f t="shared" si="0"/>
        <v>184334</v>
      </c>
      <c r="AB11" s="140">
        <f t="shared" si="0"/>
        <v>1369728.67</v>
      </c>
      <c r="AC11" s="140">
        <f t="shared" si="0"/>
        <v>1074233</v>
      </c>
      <c r="AD11" s="140">
        <f t="shared" si="0"/>
        <v>184548.54</v>
      </c>
      <c r="AE11" s="140">
        <f t="shared" si="0"/>
        <v>195436</v>
      </c>
      <c r="AF11" s="140">
        <f t="shared" si="0"/>
        <v>1554277.2100000002</v>
      </c>
      <c r="AG11" s="140">
        <f t="shared" si="0"/>
        <v>1224464</v>
      </c>
    </row>
    <row r="12" spans="1:33" s="124" customFormat="1" ht="15" customHeight="1">
      <c r="A12" s="59" t="s">
        <v>38</v>
      </c>
      <c r="B12" s="141">
        <v>2476.0700000000002</v>
      </c>
      <c r="C12" s="142">
        <v>0</v>
      </c>
      <c r="D12" s="142">
        <v>2476.0700000000002</v>
      </c>
      <c r="E12" s="143">
        <v>0</v>
      </c>
      <c r="F12" s="144">
        <v>-7713.89</v>
      </c>
      <c r="G12" s="142">
        <v>0</v>
      </c>
      <c r="H12" s="142">
        <v>-5237.82</v>
      </c>
      <c r="I12" s="143">
        <v>0</v>
      </c>
      <c r="J12" s="144">
        <v>-2802</v>
      </c>
      <c r="K12" s="142">
        <v>0</v>
      </c>
      <c r="L12" s="142">
        <v>-8039.82</v>
      </c>
      <c r="M12" s="143">
        <v>0</v>
      </c>
      <c r="N12" s="144">
        <v>-1322.22</v>
      </c>
      <c r="O12" s="142">
        <v>0</v>
      </c>
      <c r="P12" s="142">
        <v>-9362.0400000000009</v>
      </c>
      <c r="Q12" s="143">
        <v>0</v>
      </c>
      <c r="R12" s="144">
        <v>-1876.33</v>
      </c>
      <c r="S12" s="142">
        <v>0</v>
      </c>
      <c r="T12" s="142">
        <v>-11238.37</v>
      </c>
      <c r="U12" s="143">
        <v>0</v>
      </c>
      <c r="V12" s="144">
        <v>-3966.35</v>
      </c>
      <c r="W12" s="142">
        <v>0</v>
      </c>
      <c r="X12" s="142">
        <v>-15204.72</v>
      </c>
      <c r="Y12" s="143">
        <v>0</v>
      </c>
      <c r="Z12" s="144">
        <v>2292.83</v>
      </c>
      <c r="AA12" s="142">
        <v>0</v>
      </c>
      <c r="AB12" s="142">
        <v>-12911.89</v>
      </c>
      <c r="AC12" s="143">
        <v>0</v>
      </c>
      <c r="AD12" s="144">
        <v>-2530.19</v>
      </c>
      <c r="AE12" s="142">
        <v>0</v>
      </c>
      <c r="AF12" s="142">
        <v>-15442.08</v>
      </c>
      <c r="AG12" s="143">
        <v>0</v>
      </c>
    </row>
    <row r="13" spans="1:33" s="124" customFormat="1" ht="15" customHeight="1" thickBot="1">
      <c r="A13" s="59" t="s">
        <v>39</v>
      </c>
      <c r="B13" s="135">
        <v>3175.77</v>
      </c>
      <c r="C13" s="136">
        <v>1172</v>
      </c>
      <c r="D13" s="136">
        <v>3175.77</v>
      </c>
      <c r="E13" s="137">
        <v>1172</v>
      </c>
      <c r="F13" s="138">
        <v>2111.71</v>
      </c>
      <c r="G13" s="136">
        <v>312</v>
      </c>
      <c r="H13" s="136">
        <v>5287.48</v>
      </c>
      <c r="I13" s="137">
        <v>1484</v>
      </c>
      <c r="J13" s="138">
        <v>2374.6</v>
      </c>
      <c r="K13" s="136">
        <v>2532</v>
      </c>
      <c r="L13" s="136">
        <v>7662.08</v>
      </c>
      <c r="M13" s="137">
        <v>3975</v>
      </c>
      <c r="N13" s="138">
        <v>5937.88</v>
      </c>
      <c r="O13" s="136">
        <v>2662</v>
      </c>
      <c r="P13" s="136">
        <v>13599.96</v>
      </c>
      <c r="Q13" s="137">
        <v>6306</v>
      </c>
      <c r="R13" s="138">
        <v>1034.17</v>
      </c>
      <c r="S13" s="136">
        <v>1042</v>
      </c>
      <c r="T13" s="136">
        <v>14634.13</v>
      </c>
      <c r="U13" s="137">
        <v>7017</v>
      </c>
      <c r="V13" s="138">
        <v>1194.45</v>
      </c>
      <c r="W13" s="136">
        <v>2322</v>
      </c>
      <c r="X13" s="136">
        <v>15828.58</v>
      </c>
      <c r="Y13" s="137">
        <v>9298</v>
      </c>
      <c r="Z13" s="138">
        <v>1246.1400000000001</v>
      </c>
      <c r="AA13" s="136">
        <v>2102</v>
      </c>
      <c r="AB13" s="136">
        <v>17074.72</v>
      </c>
      <c r="AC13" s="137">
        <v>11334</v>
      </c>
      <c r="AD13" s="138">
        <v>6759.93</v>
      </c>
      <c r="AE13" s="136">
        <v>2302</v>
      </c>
      <c r="AF13" s="136">
        <v>23834.65</v>
      </c>
      <c r="AG13" s="137">
        <v>13345</v>
      </c>
    </row>
    <row r="14" spans="1:33" s="124" customFormat="1" ht="15" customHeight="1" thickBot="1">
      <c r="A14" s="139" t="s">
        <v>30</v>
      </c>
      <c r="B14" s="140">
        <f>+SUM(B12:B13)+B11</f>
        <v>207196.59</v>
      </c>
      <c r="C14" s="140">
        <f t="shared" ref="C14:AG14" si="1">+SUM(C12:C13)+C11</f>
        <v>187614</v>
      </c>
      <c r="D14" s="140">
        <f t="shared" si="1"/>
        <v>207196.59</v>
      </c>
      <c r="E14" s="140">
        <f t="shared" si="1"/>
        <v>187614</v>
      </c>
      <c r="F14" s="140">
        <f t="shared" si="1"/>
        <v>196460.71</v>
      </c>
      <c r="G14" s="140">
        <f t="shared" si="1"/>
        <v>191166</v>
      </c>
      <c r="H14" s="140">
        <f t="shared" si="1"/>
        <v>403657.3</v>
      </c>
      <c r="I14" s="140">
        <f t="shared" si="1"/>
        <v>378780</v>
      </c>
      <c r="J14" s="140">
        <f t="shared" si="1"/>
        <v>193567.76</v>
      </c>
      <c r="K14" s="140">
        <f t="shared" si="1"/>
        <v>197668</v>
      </c>
      <c r="L14" s="140">
        <f t="shared" si="1"/>
        <v>597225.05999999994</v>
      </c>
      <c r="M14" s="140">
        <f t="shared" si="1"/>
        <v>529890</v>
      </c>
      <c r="N14" s="140">
        <f t="shared" si="1"/>
        <v>184953.34</v>
      </c>
      <c r="O14" s="140">
        <f t="shared" si="1"/>
        <v>186747</v>
      </c>
      <c r="P14" s="140">
        <f t="shared" si="1"/>
        <v>782178.4</v>
      </c>
      <c r="Q14" s="140">
        <f t="shared" si="1"/>
        <v>671101</v>
      </c>
      <c r="R14" s="140">
        <f t="shared" si="1"/>
        <v>193602.06</v>
      </c>
      <c r="S14" s="140">
        <f t="shared" si="1"/>
        <v>180886</v>
      </c>
      <c r="T14" s="140">
        <f t="shared" si="1"/>
        <v>975780.46000000008</v>
      </c>
      <c r="U14" s="140">
        <f t="shared" si="1"/>
        <v>806451</v>
      </c>
      <c r="V14" s="140">
        <f t="shared" si="1"/>
        <v>196810.2</v>
      </c>
      <c r="W14" s="140">
        <f t="shared" si="1"/>
        <v>185821</v>
      </c>
      <c r="X14" s="140">
        <f t="shared" si="1"/>
        <v>1172590.6600000001</v>
      </c>
      <c r="Y14" s="140">
        <f t="shared" si="1"/>
        <v>945714</v>
      </c>
      <c r="Z14" s="140">
        <f t="shared" si="1"/>
        <v>201300.84</v>
      </c>
      <c r="AA14" s="140">
        <f t="shared" si="1"/>
        <v>186436</v>
      </c>
      <c r="AB14" s="140">
        <f t="shared" si="1"/>
        <v>1373891.5</v>
      </c>
      <c r="AC14" s="140">
        <f t="shared" si="1"/>
        <v>1085567</v>
      </c>
      <c r="AD14" s="140">
        <f t="shared" si="1"/>
        <v>188778.28</v>
      </c>
      <c r="AE14" s="140">
        <f t="shared" si="1"/>
        <v>197738</v>
      </c>
      <c r="AF14" s="140">
        <f t="shared" si="1"/>
        <v>1562669.7800000003</v>
      </c>
      <c r="AG14" s="140">
        <f t="shared" si="1"/>
        <v>1237809</v>
      </c>
    </row>
    <row r="15" spans="1:33" s="124" customFormat="1" ht="15" customHeight="1">
      <c r="A15" s="130" t="s">
        <v>172</v>
      </c>
      <c r="B15" s="145"/>
      <c r="C15" s="146"/>
      <c r="D15" s="146"/>
      <c r="E15" s="147"/>
      <c r="F15" s="148"/>
      <c r="G15" s="146"/>
      <c r="H15" s="146"/>
      <c r="I15" s="147"/>
      <c r="J15" s="148"/>
      <c r="K15" s="146"/>
      <c r="L15" s="146"/>
      <c r="M15" s="147"/>
      <c r="N15" s="148"/>
      <c r="O15" s="146"/>
      <c r="P15" s="146"/>
      <c r="Q15" s="147"/>
      <c r="R15" s="148"/>
      <c r="S15" s="146"/>
      <c r="T15" s="146"/>
      <c r="U15" s="147"/>
      <c r="V15" s="148"/>
      <c r="W15" s="146"/>
      <c r="X15" s="146"/>
      <c r="Y15" s="147"/>
      <c r="Z15" s="148"/>
      <c r="AA15" s="146"/>
      <c r="AB15" s="146"/>
      <c r="AC15" s="147"/>
      <c r="AD15" s="148"/>
      <c r="AE15" s="146"/>
      <c r="AF15" s="146"/>
      <c r="AG15" s="147"/>
    </row>
    <row r="16" spans="1:33" s="124" customFormat="1" ht="15" customHeight="1">
      <c r="A16" s="149" t="s">
        <v>173</v>
      </c>
      <c r="B16" s="150">
        <v>5824.17</v>
      </c>
      <c r="C16" s="151">
        <v>4235</v>
      </c>
      <c r="D16" s="151">
        <v>5824.17</v>
      </c>
      <c r="E16" s="152">
        <v>4235</v>
      </c>
      <c r="F16" s="153">
        <v>3472</v>
      </c>
      <c r="G16" s="151">
        <v>4360</v>
      </c>
      <c r="H16" s="151">
        <v>9296.17</v>
      </c>
      <c r="I16" s="152">
        <v>8595</v>
      </c>
      <c r="J16" s="153">
        <v>3306.36</v>
      </c>
      <c r="K16" s="151">
        <v>6970</v>
      </c>
      <c r="L16" s="151">
        <v>12602.53</v>
      </c>
      <c r="M16" s="152">
        <v>13996</v>
      </c>
      <c r="N16" s="153">
        <v>3661.2</v>
      </c>
      <c r="O16" s="151">
        <v>4560</v>
      </c>
      <c r="P16" s="151">
        <v>16263.73</v>
      </c>
      <c r="Q16" s="152">
        <v>16711</v>
      </c>
      <c r="R16" s="153">
        <v>4303.78</v>
      </c>
      <c r="S16" s="151">
        <v>5455</v>
      </c>
      <c r="T16" s="151">
        <v>20567.509999999998</v>
      </c>
      <c r="U16" s="152">
        <v>20234</v>
      </c>
      <c r="V16" s="153">
        <v>3997.27</v>
      </c>
      <c r="W16" s="151">
        <v>5335</v>
      </c>
      <c r="X16" s="151">
        <v>24564.78</v>
      </c>
      <c r="Y16" s="152">
        <v>23950</v>
      </c>
      <c r="Z16" s="153">
        <v>3883.09</v>
      </c>
      <c r="AA16" s="151">
        <v>4971</v>
      </c>
      <c r="AB16" s="151">
        <v>28447.87</v>
      </c>
      <c r="AC16" s="152">
        <v>27426</v>
      </c>
      <c r="AD16" s="153">
        <v>5657.02</v>
      </c>
      <c r="AE16" s="151">
        <v>4896</v>
      </c>
      <c r="AF16" s="151">
        <v>34104.89</v>
      </c>
      <c r="AG16" s="152">
        <v>30800</v>
      </c>
    </row>
    <row r="17" spans="1:33" s="124" customFormat="1" ht="15" customHeight="1">
      <c r="A17" s="149" t="s">
        <v>174</v>
      </c>
      <c r="B17" s="150">
        <v>873.74</v>
      </c>
      <c r="C17" s="151">
        <v>700</v>
      </c>
      <c r="D17" s="151">
        <v>873.74</v>
      </c>
      <c r="E17" s="152">
        <v>700</v>
      </c>
      <c r="F17" s="153">
        <v>1305</v>
      </c>
      <c r="G17" s="151">
        <v>700</v>
      </c>
      <c r="H17" s="151">
        <v>2178.7399999999998</v>
      </c>
      <c r="I17" s="152">
        <v>1400</v>
      </c>
      <c r="J17" s="153">
        <v>1129.22</v>
      </c>
      <c r="K17" s="151">
        <v>1575</v>
      </c>
      <c r="L17" s="151">
        <v>3307.96</v>
      </c>
      <c r="M17" s="152">
        <v>2975</v>
      </c>
      <c r="N17" s="153">
        <v>1045.3599999999999</v>
      </c>
      <c r="O17" s="151">
        <v>3350</v>
      </c>
      <c r="P17" s="151">
        <v>4353.32</v>
      </c>
      <c r="Q17" s="152">
        <v>4765</v>
      </c>
      <c r="R17" s="153">
        <v>299.67</v>
      </c>
      <c r="S17" s="151">
        <v>700</v>
      </c>
      <c r="T17" s="151">
        <v>4652.99</v>
      </c>
      <c r="U17" s="152">
        <v>4780</v>
      </c>
      <c r="V17" s="153">
        <v>0</v>
      </c>
      <c r="W17" s="151">
        <v>875</v>
      </c>
      <c r="X17" s="151">
        <v>4652.99</v>
      </c>
      <c r="Y17" s="152">
        <v>5655</v>
      </c>
      <c r="Z17" s="153">
        <v>599.33000000000004</v>
      </c>
      <c r="AA17" s="151">
        <v>2575</v>
      </c>
      <c r="AB17" s="151">
        <v>5252.32</v>
      </c>
      <c r="AC17" s="152">
        <v>8230</v>
      </c>
      <c r="AD17" s="153">
        <v>3295.64</v>
      </c>
      <c r="AE17" s="151">
        <v>1550</v>
      </c>
      <c r="AF17" s="151">
        <v>8547.9599999999991</v>
      </c>
      <c r="AG17" s="152">
        <v>9270</v>
      </c>
    </row>
    <row r="18" spans="1:33" s="124" customFormat="1" ht="15" customHeight="1">
      <c r="A18" s="149" t="s">
        <v>175</v>
      </c>
      <c r="B18" s="150">
        <v>77.38</v>
      </c>
      <c r="C18" s="151">
        <v>250</v>
      </c>
      <c r="D18" s="151">
        <v>77.38</v>
      </c>
      <c r="E18" s="152">
        <v>250</v>
      </c>
      <c r="F18" s="153">
        <v>42.78</v>
      </c>
      <c r="G18" s="151">
        <v>50</v>
      </c>
      <c r="H18" s="151">
        <v>120.16</v>
      </c>
      <c r="I18" s="152">
        <v>300</v>
      </c>
      <c r="J18" s="153">
        <v>7.4</v>
      </c>
      <c r="K18" s="151">
        <v>386</v>
      </c>
      <c r="L18" s="151">
        <v>127.56</v>
      </c>
      <c r="M18" s="152">
        <v>686</v>
      </c>
      <c r="N18" s="153">
        <v>1321.99</v>
      </c>
      <c r="O18" s="151">
        <v>250</v>
      </c>
      <c r="P18" s="151">
        <v>1449.55</v>
      </c>
      <c r="Q18" s="152">
        <v>796</v>
      </c>
      <c r="R18" s="153">
        <v>64.150000000000006</v>
      </c>
      <c r="S18" s="151">
        <v>50</v>
      </c>
      <c r="T18" s="151">
        <v>1513.7</v>
      </c>
      <c r="U18" s="152">
        <v>796</v>
      </c>
      <c r="V18" s="153">
        <v>52.93</v>
      </c>
      <c r="W18" s="151">
        <v>1132</v>
      </c>
      <c r="X18" s="151">
        <v>1566.63</v>
      </c>
      <c r="Y18" s="152">
        <v>1928</v>
      </c>
      <c r="Z18" s="153">
        <v>75.72</v>
      </c>
      <c r="AA18" s="151">
        <v>250</v>
      </c>
      <c r="AB18" s="151">
        <v>1642.35</v>
      </c>
      <c r="AC18" s="152">
        <v>2038</v>
      </c>
      <c r="AD18" s="153">
        <v>184.46</v>
      </c>
      <c r="AE18" s="151">
        <v>50</v>
      </c>
      <c r="AF18" s="151">
        <v>1826.81</v>
      </c>
      <c r="AG18" s="152">
        <v>2038</v>
      </c>
    </row>
    <row r="19" spans="1:33" s="124" customFormat="1" ht="15" customHeight="1">
      <c r="A19" s="149" t="s">
        <v>176</v>
      </c>
      <c r="B19" s="150">
        <v>0</v>
      </c>
      <c r="C19" s="151">
        <v>80</v>
      </c>
      <c r="D19" s="151">
        <v>0</v>
      </c>
      <c r="E19" s="152">
        <v>80</v>
      </c>
      <c r="F19" s="153">
        <v>0</v>
      </c>
      <c r="G19" s="151">
        <v>30</v>
      </c>
      <c r="H19" s="151">
        <v>0</v>
      </c>
      <c r="I19" s="152">
        <v>110</v>
      </c>
      <c r="J19" s="153">
        <v>223.13</v>
      </c>
      <c r="K19" s="151">
        <v>300</v>
      </c>
      <c r="L19" s="151">
        <v>223.13</v>
      </c>
      <c r="M19" s="152">
        <v>325</v>
      </c>
      <c r="N19" s="153">
        <v>485</v>
      </c>
      <c r="O19" s="151">
        <v>80</v>
      </c>
      <c r="P19" s="151">
        <v>708.13</v>
      </c>
      <c r="Q19" s="152">
        <v>-1095</v>
      </c>
      <c r="R19" s="153">
        <v>10.42</v>
      </c>
      <c r="S19" s="151">
        <v>30</v>
      </c>
      <c r="T19" s="151">
        <v>718.55</v>
      </c>
      <c r="U19" s="152">
        <v>-1095</v>
      </c>
      <c r="V19" s="153">
        <v>214</v>
      </c>
      <c r="W19" s="151">
        <v>300</v>
      </c>
      <c r="X19" s="151">
        <v>932.55</v>
      </c>
      <c r="Y19" s="152">
        <v>-910</v>
      </c>
      <c r="Z19" s="153">
        <v>0</v>
      </c>
      <c r="AA19" s="151">
        <v>80</v>
      </c>
      <c r="AB19" s="151">
        <v>932.55</v>
      </c>
      <c r="AC19" s="152">
        <v>-830</v>
      </c>
      <c r="AD19" s="153">
        <v>0</v>
      </c>
      <c r="AE19" s="151">
        <v>30</v>
      </c>
      <c r="AF19" s="151">
        <v>932.55</v>
      </c>
      <c r="AG19" s="152">
        <v>-830</v>
      </c>
    </row>
    <row r="20" spans="1:33" s="124" customFormat="1" ht="15" customHeight="1">
      <c r="A20" s="149" t="s">
        <v>177</v>
      </c>
      <c r="B20" s="150">
        <v>341.61</v>
      </c>
      <c r="C20" s="151">
        <v>333</v>
      </c>
      <c r="D20" s="151">
        <v>341.61</v>
      </c>
      <c r="E20" s="152">
        <v>333</v>
      </c>
      <c r="F20" s="153">
        <v>158</v>
      </c>
      <c r="G20" s="151">
        <v>163</v>
      </c>
      <c r="H20" s="151">
        <v>499.61</v>
      </c>
      <c r="I20" s="152">
        <v>496</v>
      </c>
      <c r="J20" s="153">
        <v>328.13</v>
      </c>
      <c r="K20" s="151">
        <v>803</v>
      </c>
      <c r="L20" s="151">
        <v>827.74</v>
      </c>
      <c r="M20" s="152">
        <v>1129</v>
      </c>
      <c r="N20" s="153">
        <v>158.26</v>
      </c>
      <c r="O20" s="151">
        <v>513</v>
      </c>
      <c r="P20" s="151">
        <v>986</v>
      </c>
      <c r="Q20" s="152">
        <v>-108</v>
      </c>
      <c r="R20" s="153">
        <v>158.13</v>
      </c>
      <c r="S20" s="151">
        <v>333</v>
      </c>
      <c r="T20" s="151">
        <v>1144.1300000000001</v>
      </c>
      <c r="U20" s="152">
        <v>55</v>
      </c>
      <c r="V20" s="153">
        <v>158.13</v>
      </c>
      <c r="W20" s="151">
        <v>163</v>
      </c>
      <c r="X20" s="151">
        <v>1302.26</v>
      </c>
      <c r="Y20" s="152">
        <v>48</v>
      </c>
      <c r="Z20" s="153">
        <v>538.13</v>
      </c>
      <c r="AA20" s="151">
        <v>333</v>
      </c>
      <c r="AB20" s="151">
        <v>1840.39</v>
      </c>
      <c r="AC20" s="152">
        <v>211</v>
      </c>
      <c r="AD20" s="153">
        <v>158.13</v>
      </c>
      <c r="AE20" s="151">
        <v>163</v>
      </c>
      <c r="AF20" s="151">
        <v>1998.52</v>
      </c>
      <c r="AG20" s="152">
        <v>204</v>
      </c>
    </row>
    <row r="21" spans="1:33" s="124" customFormat="1" ht="15" customHeight="1">
      <c r="A21" s="149" t="s">
        <v>178</v>
      </c>
      <c r="B21" s="150">
        <v>0</v>
      </c>
      <c r="C21" s="151">
        <v>0</v>
      </c>
      <c r="D21" s="151">
        <v>0</v>
      </c>
      <c r="E21" s="152">
        <v>0</v>
      </c>
      <c r="F21" s="153">
        <v>0</v>
      </c>
      <c r="G21" s="151">
        <v>0</v>
      </c>
      <c r="H21" s="151">
        <v>0</v>
      </c>
      <c r="I21" s="152">
        <v>0</v>
      </c>
      <c r="J21" s="153">
        <v>0</v>
      </c>
      <c r="K21" s="151">
        <v>220</v>
      </c>
      <c r="L21" s="151">
        <v>0</v>
      </c>
      <c r="M21" s="152">
        <v>-980</v>
      </c>
      <c r="N21" s="153">
        <v>106.65</v>
      </c>
      <c r="O21" s="151">
        <v>0</v>
      </c>
      <c r="P21" s="151">
        <v>106.65</v>
      </c>
      <c r="Q21" s="152">
        <v>-980</v>
      </c>
      <c r="R21" s="153">
        <v>0</v>
      </c>
      <c r="S21" s="151">
        <v>0</v>
      </c>
      <c r="T21" s="151">
        <v>106.65</v>
      </c>
      <c r="U21" s="152">
        <v>-980</v>
      </c>
      <c r="V21" s="153">
        <v>0</v>
      </c>
      <c r="W21" s="151">
        <v>160</v>
      </c>
      <c r="X21" s="151">
        <v>106.65</v>
      </c>
      <c r="Y21" s="152">
        <v>-820</v>
      </c>
      <c r="Z21" s="153">
        <v>90</v>
      </c>
      <c r="AA21" s="151">
        <v>0</v>
      </c>
      <c r="AB21" s="151">
        <v>196.65</v>
      </c>
      <c r="AC21" s="152">
        <v>-885</v>
      </c>
      <c r="AD21" s="153">
        <v>0</v>
      </c>
      <c r="AE21" s="151">
        <v>0</v>
      </c>
      <c r="AF21" s="151">
        <v>196.65</v>
      </c>
      <c r="AG21" s="152">
        <v>-885</v>
      </c>
    </row>
    <row r="22" spans="1:33" s="124" customFormat="1" ht="15" customHeight="1">
      <c r="A22" s="149" t="s">
        <v>179</v>
      </c>
      <c r="B22" s="150">
        <v>3183.52</v>
      </c>
      <c r="C22" s="151">
        <v>3827</v>
      </c>
      <c r="D22" s="151">
        <v>3183.52</v>
      </c>
      <c r="E22" s="152">
        <v>3827</v>
      </c>
      <c r="F22" s="153">
        <v>4862.74</v>
      </c>
      <c r="G22" s="151">
        <v>3827</v>
      </c>
      <c r="H22" s="151">
        <v>8046.26</v>
      </c>
      <c r="I22" s="152">
        <v>7654</v>
      </c>
      <c r="J22" s="153">
        <v>2765.71</v>
      </c>
      <c r="K22" s="151">
        <v>3827</v>
      </c>
      <c r="L22" s="151">
        <v>10811.97</v>
      </c>
      <c r="M22" s="152">
        <v>8595</v>
      </c>
      <c r="N22" s="153">
        <v>2254.0700000000002</v>
      </c>
      <c r="O22" s="151">
        <v>3827</v>
      </c>
      <c r="P22" s="151">
        <v>13066.04</v>
      </c>
      <c r="Q22" s="152">
        <v>9536</v>
      </c>
      <c r="R22" s="153">
        <v>8288.68</v>
      </c>
      <c r="S22" s="151">
        <v>3827</v>
      </c>
      <c r="T22" s="151">
        <v>21354.720000000001</v>
      </c>
      <c r="U22" s="152">
        <v>10477</v>
      </c>
      <c r="V22" s="153">
        <v>3266.48</v>
      </c>
      <c r="W22" s="151">
        <v>3827</v>
      </c>
      <c r="X22" s="151">
        <v>24621.200000000001</v>
      </c>
      <c r="Y22" s="152">
        <v>11418</v>
      </c>
      <c r="Z22" s="153">
        <v>5862.95</v>
      </c>
      <c r="AA22" s="151">
        <v>3827</v>
      </c>
      <c r="AB22" s="151">
        <v>30484.15</v>
      </c>
      <c r="AC22" s="152">
        <v>12359</v>
      </c>
      <c r="AD22" s="153">
        <v>3921.91</v>
      </c>
      <c r="AE22" s="151">
        <v>3827</v>
      </c>
      <c r="AF22" s="151">
        <v>34406.06</v>
      </c>
      <c r="AG22" s="152">
        <v>13300</v>
      </c>
    </row>
    <row r="23" spans="1:33" s="124" customFormat="1" ht="15" customHeight="1">
      <c r="A23" s="149" t="s">
        <v>180</v>
      </c>
      <c r="B23" s="150">
        <v>1604.61</v>
      </c>
      <c r="C23" s="151">
        <v>0</v>
      </c>
      <c r="D23" s="151">
        <v>1604.61</v>
      </c>
      <c r="E23" s="152">
        <v>0</v>
      </c>
      <c r="F23" s="153">
        <v>1290.3499999999999</v>
      </c>
      <c r="G23" s="151">
        <v>0</v>
      </c>
      <c r="H23" s="151">
        <v>2894.96</v>
      </c>
      <c r="I23" s="152">
        <v>0</v>
      </c>
      <c r="J23" s="153">
        <v>1235.6199999999999</v>
      </c>
      <c r="K23" s="151">
        <v>1040</v>
      </c>
      <c r="L23" s="151">
        <v>4130.58</v>
      </c>
      <c r="M23" s="152">
        <v>1040</v>
      </c>
      <c r="N23" s="153">
        <v>1422.81</v>
      </c>
      <c r="O23" s="151">
        <v>0</v>
      </c>
      <c r="P23" s="151">
        <v>5553.39</v>
      </c>
      <c r="Q23" s="152">
        <v>395</v>
      </c>
      <c r="R23" s="153">
        <v>3085.74</v>
      </c>
      <c r="S23" s="151">
        <v>0</v>
      </c>
      <c r="T23" s="151">
        <v>8639.1299999999992</v>
      </c>
      <c r="U23" s="152">
        <v>385</v>
      </c>
      <c r="V23" s="153">
        <v>1088.5899999999999</v>
      </c>
      <c r="W23" s="151">
        <v>395</v>
      </c>
      <c r="X23" s="151">
        <v>9727.7199999999993</v>
      </c>
      <c r="Y23" s="152">
        <v>780</v>
      </c>
      <c r="Z23" s="153">
        <v>6129.36</v>
      </c>
      <c r="AA23" s="151">
        <v>0</v>
      </c>
      <c r="AB23" s="151">
        <v>15857.08</v>
      </c>
      <c r="AC23" s="152">
        <v>135</v>
      </c>
      <c r="AD23" s="153">
        <v>3053.86</v>
      </c>
      <c r="AE23" s="151">
        <v>0</v>
      </c>
      <c r="AF23" s="151">
        <v>18910.939999999999</v>
      </c>
      <c r="AG23" s="152">
        <v>125</v>
      </c>
    </row>
    <row r="24" spans="1:33" s="124" customFormat="1" ht="15" customHeight="1">
      <c r="A24" s="149" t="s">
        <v>181</v>
      </c>
      <c r="B24" s="150">
        <v>152.4</v>
      </c>
      <c r="C24" s="151">
        <v>155</v>
      </c>
      <c r="D24" s="151">
        <v>152.4</v>
      </c>
      <c r="E24" s="152">
        <v>155</v>
      </c>
      <c r="F24" s="153">
        <v>654</v>
      </c>
      <c r="G24" s="151">
        <v>90</v>
      </c>
      <c r="H24" s="151">
        <v>806.4</v>
      </c>
      <c r="I24" s="152">
        <v>245</v>
      </c>
      <c r="J24" s="153">
        <v>276.14999999999998</v>
      </c>
      <c r="K24" s="151">
        <v>960</v>
      </c>
      <c r="L24" s="151">
        <v>1082.55</v>
      </c>
      <c r="M24" s="152">
        <v>1170</v>
      </c>
      <c r="N24" s="153">
        <v>93.16</v>
      </c>
      <c r="O24" s="151">
        <v>90</v>
      </c>
      <c r="P24" s="151">
        <v>1175.71</v>
      </c>
      <c r="Q24" s="152">
        <v>1195</v>
      </c>
      <c r="R24" s="153">
        <v>370.3</v>
      </c>
      <c r="S24" s="151">
        <v>290</v>
      </c>
      <c r="T24" s="151">
        <v>1546.01</v>
      </c>
      <c r="U24" s="152">
        <v>1450</v>
      </c>
      <c r="V24" s="153">
        <v>380.32</v>
      </c>
      <c r="W24" s="151">
        <v>495</v>
      </c>
      <c r="X24" s="151">
        <v>1926.33</v>
      </c>
      <c r="Y24" s="152">
        <v>1880</v>
      </c>
      <c r="Z24" s="153">
        <v>140</v>
      </c>
      <c r="AA24" s="151">
        <v>185</v>
      </c>
      <c r="AB24" s="151">
        <v>2066.33</v>
      </c>
      <c r="AC24" s="152">
        <v>2030</v>
      </c>
      <c r="AD24" s="153">
        <v>96.3</v>
      </c>
      <c r="AE24" s="151">
        <v>290</v>
      </c>
      <c r="AF24" s="151">
        <v>2162.63</v>
      </c>
      <c r="AG24" s="152">
        <v>2035</v>
      </c>
    </row>
    <row r="25" spans="1:33" s="124" customFormat="1" ht="15" customHeight="1">
      <c r="A25" s="149" t="s">
        <v>182</v>
      </c>
      <c r="B25" s="150">
        <v>5682.73</v>
      </c>
      <c r="C25" s="151">
        <v>4690</v>
      </c>
      <c r="D25" s="151">
        <v>5682.73</v>
      </c>
      <c r="E25" s="152">
        <v>4690</v>
      </c>
      <c r="F25" s="153">
        <v>4945.6099999999997</v>
      </c>
      <c r="G25" s="151">
        <v>4779</v>
      </c>
      <c r="H25" s="151">
        <v>10628.34</v>
      </c>
      <c r="I25" s="152">
        <v>9469</v>
      </c>
      <c r="J25" s="153">
        <v>4219.8</v>
      </c>
      <c r="K25" s="151">
        <v>4942</v>
      </c>
      <c r="L25" s="151">
        <v>14848.14</v>
      </c>
      <c r="M25" s="152">
        <v>13251</v>
      </c>
      <c r="N25" s="153">
        <v>4798.78</v>
      </c>
      <c r="O25" s="151">
        <v>4669</v>
      </c>
      <c r="P25" s="151">
        <v>19646.919999999998</v>
      </c>
      <c r="Q25" s="152">
        <v>16785</v>
      </c>
      <c r="R25" s="153">
        <v>4924.9799999999996</v>
      </c>
      <c r="S25" s="151">
        <v>4522</v>
      </c>
      <c r="T25" s="151">
        <v>24571.9</v>
      </c>
      <c r="U25" s="152">
        <v>20172</v>
      </c>
      <c r="V25" s="153">
        <v>4708.0200000000004</v>
      </c>
      <c r="W25" s="151">
        <v>4646</v>
      </c>
      <c r="X25" s="151">
        <v>29279.919999999998</v>
      </c>
      <c r="Y25" s="152">
        <v>23658</v>
      </c>
      <c r="Z25" s="153">
        <v>5859.7</v>
      </c>
      <c r="AA25" s="151">
        <v>4661</v>
      </c>
      <c r="AB25" s="151">
        <v>35139.620000000003</v>
      </c>
      <c r="AC25" s="152">
        <v>27158</v>
      </c>
      <c r="AD25" s="153">
        <v>4325.05</v>
      </c>
      <c r="AE25" s="151">
        <v>4943</v>
      </c>
      <c r="AF25" s="151">
        <v>39464.67</v>
      </c>
      <c r="AG25" s="152">
        <v>30967</v>
      </c>
    </row>
    <row r="26" spans="1:33" s="124" customFormat="1" ht="15" customHeight="1">
      <c r="A26" s="149" t="s">
        <v>183</v>
      </c>
      <c r="B26" s="150">
        <v>1884.48</v>
      </c>
      <c r="C26" s="151">
        <v>1885</v>
      </c>
      <c r="D26" s="151">
        <v>1884.48</v>
      </c>
      <c r="E26" s="152">
        <v>1885</v>
      </c>
      <c r="F26" s="153">
        <v>1884.64</v>
      </c>
      <c r="G26" s="151">
        <v>1885</v>
      </c>
      <c r="H26" s="151">
        <v>3769.12</v>
      </c>
      <c r="I26" s="152">
        <v>3770</v>
      </c>
      <c r="J26" s="153">
        <v>1884.64</v>
      </c>
      <c r="K26" s="151">
        <v>1885</v>
      </c>
      <c r="L26" s="151">
        <v>5653.76</v>
      </c>
      <c r="M26" s="152">
        <v>5655</v>
      </c>
      <c r="N26" s="153">
        <v>1884.64</v>
      </c>
      <c r="O26" s="151">
        <v>1885</v>
      </c>
      <c r="P26" s="151">
        <v>7538.4</v>
      </c>
      <c r="Q26" s="152">
        <v>7540</v>
      </c>
      <c r="R26" s="153">
        <v>1884.53</v>
      </c>
      <c r="S26" s="151">
        <v>1885</v>
      </c>
      <c r="T26" s="151">
        <v>9422.93</v>
      </c>
      <c r="U26" s="152">
        <v>9425</v>
      </c>
      <c r="V26" s="153">
        <v>1650.55</v>
      </c>
      <c r="W26" s="151">
        <v>1941</v>
      </c>
      <c r="X26" s="151">
        <v>11073.48</v>
      </c>
      <c r="Y26" s="152">
        <v>11366</v>
      </c>
      <c r="Z26" s="153">
        <v>1650.55</v>
      </c>
      <c r="AA26" s="151">
        <v>1941</v>
      </c>
      <c r="AB26" s="151">
        <v>12724.03</v>
      </c>
      <c r="AC26" s="152">
        <v>13307</v>
      </c>
      <c r="AD26" s="153">
        <v>1650.55</v>
      </c>
      <c r="AE26" s="151">
        <v>1941</v>
      </c>
      <c r="AF26" s="151">
        <v>14374.58</v>
      </c>
      <c r="AG26" s="152">
        <v>15248</v>
      </c>
    </row>
    <row r="27" spans="1:33" s="124" customFormat="1" ht="15" customHeight="1">
      <c r="A27" s="149" t="s">
        <v>184</v>
      </c>
      <c r="B27" s="150">
        <v>19432.64</v>
      </c>
      <c r="C27" s="151">
        <v>19433</v>
      </c>
      <c r="D27" s="151">
        <v>19432.64</v>
      </c>
      <c r="E27" s="152">
        <v>19433</v>
      </c>
      <c r="F27" s="153">
        <v>19432.64</v>
      </c>
      <c r="G27" s="151">
        <v>19433</v>
      </c>
      <c r="H27" s="151">
        <v>38865.279999999999</v>
      </c>
      <c r="I27" s="152">
        <v>38866</v>
      </c>
      <c r="J27" s="153">
        <v>19432.64</v>
      </c>
      <c r="K27" s="151">
        <v>19433</v>
      </c>
      <c r="L27" s="151">
        <v>58297.919999999998</v>
      </c>
      <c r="M27" s="152">
        <v>58299</v>
      </c>
      <c r="N27" s="153">
        <v>19432.64</v>
      </c>
      <c r="O27" s="151">
        <v>19433</v>
      </c>
      <c r="P27" s="151">
        <v>77730.559999999998</v>
      </c>
      <c r="Q27" s="152">
        <v>77732</v>
      </c>
      <c r="R27" s="153">
        <v>19432.64</v>
      </c>
      <c r="S27" s="151">
        <v>19433</v>
      </c>
      <c r="T27" s="151">
        <v>97163.199999999997</v>
      </c>
      <c r="U27" s="152">
        <v>97165</v>
      </c>
      <c r="V27" s="153">
        <v>19432.63</v>
      </c>
      <c r="W27" s="151">
        <v>19433</v>
      </c>
      <c r="X27" s="151">
        <v>116595.83</v>
      </c>
      <c r="Y27" s="152">
        <v>116598</v>
      </c>
      <c r="Z27" s="153">
        <v>19821.29</v>
      </c>
      <c r="AA27" s="151">
        <v>19821</v>
      </c>
      <c r="AB27" s="151">
        <v>136417.12</v>
      </c>
      <c r="AC27" s="152">
        <v>136419</v>
      </c>
      <c r="AD27" s="153">
        <v>19821.29</v>
      </c>
      <c r="AE27" s="151">
        <v>19821</v>
      </c>
      <c r="AF27" s="151">
        <v>156238.41</v>
      </c>
      <c r="AG27" s="152">
        <v>156240</v>
      </c>
    </row>
    <row r="28" spans="1:33" s="124" customFormat="1" ht="15" customHeight="1">
      <c r="A28" s="149" t="s">
        <v>185</v>
      </c>
      <c r="B28" s="150">
        <v>1580.3</v>
      </c>
      <c r="C28" s="151">
        <v>2995</v>
      </c>
      <c r="D28" s="151">
        <v>1580.3</v>
      </c>
      <c r="E28" s="152">
        <v>2995</v>
      </c>
      <c r="F28" s="153">
        <v>1051.06</v>
      </c>
      <c r="G28" s="151">
        <v>2675</v>
      </c>
      <c r="H28" s="151">
        <v>2631.36</v>
      </c>
      <c r="I28" s="152">
        <v>5670</v>
      </c>
      <c r="J28" s="153">
        <v>1000.79</v>
      </c>
      <c r="K28" s="151">
        <v>3395</v>
      </c>
      <c r="L28" s="151">
        <v>3632.15</v>
      </c>
      <c r="M28" s="152">
        <v>8985</v>
      </c>
      <c r="N28" s="153">
        <v>2926.5</v>
      </c>
      <c r="O28" s="151">
        <v>3025</v>
      </c>
      <c r="P28" s="151">
        <v>6558.65</v>
      </c>
      <c r="Q28" s="152">
        <v>11649</v>
      </c>
      <c r="R28" s="153">
        <v>2538.56</v>
      </c>
      <c r="S28" s="151">
        <v>3545</v>
      </c>
      <c r="T28" s="151">
        <v>9097.2099999999991</v>
      </c>
      <c r="U28" s="152">
        <v>15048</v>
      </c>
      <c r="V28" s="153">
        <v>1632.44</v>
      </c>
      <c r="W28" s="151">
        <v>3201</v>
      </c>
      <c r="X28" s="151">
        <v>10729.65</v>
      </c>
      <c r="Y28" s="152">
        <v>18154</v>
      </c>
      <c r="Z28" s="153">
        <v>4685.46</v>
      </c>
      <c r="AA28" s="151">
        <v>2915</v>
      </c>
      <c r="AB28" s="151">
        <v>15415.11</v>
      </c>
      <c r="AC28" s="152">
        <v>20774</v>
      </c>
      <c r="AD28" s="153">
        <v>384.04</v>
      </c>
      <c r="AE28" s="151">
        <v>2865</v>
      </c>
      <c r="AF28" s="151">
        <v>15799.15</v>
      </c>
      <c r="AG28" s="152">
        <v>23346</v>
      </c>
    </row>
    <row r="29" spans="1:33" s="124" customFormat="1" ht="15" customHeight="1">
      <c r="A29" s="149" t="s">
        <v>186</v>
      </c>
      <c r="B29" s="150">
        <v>165.12</v>
      </c>
      <c r="C29" s="151">
        <v>0</v>
      </c>
      <c r="D29" s="151">
        <v>165.12</v>
      </c>
      <c r="E29" s="152">
        <v>0</v>
      </c>
      <c r="F29" s="153">
        <v>123.05</v>
      </c>
      <c r="G29" s="151">
        <v>0</v>
      </c>
      <c r="H29" s="151">
        <v>288.17</v>
      </c>
      <c r="I29" s="152">
        <v>0</v>
      </c>
      <c r="J29" s="153">
        <v>1651.09</v>
      </c>
      <c r="K29" s="151">
        <v>341</v>
      </c>
      <c r="L29" s="151">
        <v>1939.26</v>
      </c>
      <c r="M29" s="152">
        <v>291</v>
      </c>
      <c r="N29" s="153">
        <v>107.29</v>
      </c>
      <c r="O29" s="151">
        <v>0</v>
      </c>
      <c r="P29" s="151">
        <v>2046.55</v>
      </c>
      <c r="Q29" s="152">
        <v>291</v>
      </c>
      <c r="R29" s="153">
        <v>101.29</v>
      </c>
      <c r="S29" s="151">
        <v>0</v>
      </c>
      <c r="T29" s="151">
        <v>2147.84</v>
      </c>
      <c r="U29" s="152">
        <v>291</v>
      </c>
      <c r="V29" s="153">
        <v>105.35</v>
      </c>
      <c r="W29" s="151">
        <v>391</v>
      </c>
      <c r="X29" s="151">
        <v>2253.19</v>
      </c>
      <c r="Y29" s="152">
        <v>682</v>
      </c>
      <c r="Z29" s="153">
        <v>118.66</v>
      </c>
      <c r="AA29" s="151">
        <v>0</v>
      </c>
      <c r="AB29" s="151">
        <v>2371.85</v>
      </c>
      <c r="AC29" s="152">
        <v>682</v>
      </c>
      <c r="AD29" s="153">
        <v>13.63</v>
      </c>
      <c r="AE29" s="151">
        <v>0</v>
      </c>
      <c r="AF29" s="151">
        <v>2385.48</v>
      </c>
      <c r="AG29" s="152">
        <v>682</v>
      </c>
    </row>
    <row r="30" spans="1:33" s="124" customFormat="1" ht="15" customHeight="1">
      <c r="A30" s="149" t="s">
        <v>187</v>
      </c>
      <c r="B30" s="150">
        <v>0</v>
      </c>
      <c r="C30" s="151">
        <v>0</v>
      </c>
      <c r="D30" s="151">
        <v>0</v>
      </c>
      <c r="E30" s="152">
        <v>0</v>
      </c>
      <c r="F30" s="153">
        <v>75.38</v>
      </c>
      <c r="G30" s="151">
        <v>0</v>
      </c>
      <c r="H30" s="151">
        <v>75.38</v>
      </c>
      <c r="I30" s="152">
        <v>0</v>
      </c>
      <c r="J30" s="153">
        <v>0</v>
      </c>
      <c r="K30" s="151">
        <v>0</v>
      </c>
      <c r="L30" s="151">
        <v>75.38</v>
      </c>
      <c r="M30" s="152">
        <v>0</v>
      </c>
      <c r="N30" s="153">
        <v>0</v>
      </c>
      <c r="O30" s="151">
        <v>0</v>
      </c>
      <c r="P30" s="151">
        <v>75.38</v>
      </c>
      <c r="Q30" s="152">
        <v>0</v>
      </c>
      <c r="R30" s="153">
        <v>0</v>
      </c>
      <c r="S30" s="151">
        <v>0</v>
      </c>
      <c r="T30" s="151">
        <v>75.38</v>
      </c>
      <c r="U30" s="152">
        <v>0</v>
      </c>
      <c r="V30" s="153">
        <v>0</v>
      </c>
      <c r="W30" s="151">
        <v>0</v>
      </c>
      <c r="X30" s="151">
        <v>75.38</v>
      </c>
      <c r="Y30" s="152">
        <v>0</v>
      </c>
      <c r="Z30" s="153">
        <v>0</v>
      </c>
      <c r="AA30" s="151">
        <v>0</v>
      </c>
      <c r="AB30" s="151">
        <v>75.38</v>
      </c>
      <c r="AC30" s="152">
        <v>0</v>
      </c>
      <c r="AD30" s="153">
        <v>0</v>
      </c>
      <c r="AE30" s="151">
        <v>0</v>
      </c>
      <c r="AF30" s="151">
        <v>75.38</v>
      </c>
      <c r="AG30" s="152">
        <v>0</v>
      </c>
    </row>
    <row r="31" spans="1:33" s="124" customFormat="1" ht="15" customHeight="1" thickBot="1">
      <c r="A31" s="149" t="s">
        <v>188</v>
      </c>
      <c r="B31" s="150">
        <v>12064.61</v>
      </c>
      <c r="C31" s="151">
        <v>8532.64</v>
      </c>
      <c r="D31" s="151">
        <v>12064.61</v>
      </c>
      <c r="E31" s="152">
        <v>8532.64</v>
      </c>
      <c r="F31" s="153">
        <v>10852.23</v>
      </c>
      <c r="G31" s="151">
        <v>8532.64</v>
      </c>
      <c r="H31" s="151">
        <v>22916.84</v>
      </c>
      <c r="I31" s="152">
        <v>17065.28</v>
      </c>
      <c r="J31" s="153">
        <v>10940</v>
      </c>
      <c r="K31" s="151">
        <v>8532.64</v>
      </c>
      <c r="L31" s="151">
        <v>33856.839999999997</v>
      </c>
      <c r="M31" s="152">
        <v>25597.919999999998</v>
      </c>
      <c r="N31" s="153">
        <v>9628.5</v>
      </c>
      <c r="O31" s="151">
        <v>8532.64</v>
      </c>
      <c r="P31" s="151">
        <v>43485.34</v>
      </c>
      <c r="Q31" s="152">
        <v>34130.559999999998</v>
      </c>
      <c r="R31" s="153">
        <v>9872.5300000000007</v>
      </c>
      <c r="S31" s="151">
        <v>8532.64</v>
      </c>
      <c r="T31" s="151">
        <v>53357.87</v>
      </c>
      <c r="U31" s="152">
        <v>42663.199999999997</v>
      </c>
      <c r="V31" s="153">
        <v>10642.85</v>
      </c>
      <c r="W31" s="151">
        <v>8532.64</v>
      </c>
      <c r="X31" s="151">
        <v>64000.72</v>
      </c>
      <c r="Y31" s="152">
        <v>51195.839999999997</v>
      </c>
      <c r="Z31" s="153">
        <v>10858.75</v>
      </c>
      <c r="AA31" s="151">
        <v>8959.2800000000007</v>
      </c>
      <c r="AB31" s="151">
        <v>74859.47</v>
      </c>
      <c r="AC31" s="152">
        <v>60155.12</v>
      </c>
      <c r="AD31" s="153">
        <v>9130.25</v>
      </c>
      <c r="AE31" s="151">
        <v>8959.2800000000007</v>
      </c>
      <c r="AF31" s="151">
        <v>83989.72</v>
      </c>
      <c r="AG31" s="152">
        <v>69114.399999999994</v>
      </c>
    </row>
    <row r="32" spans="1:33" s="124" customFormat="1" ht="15" customHeight="1" thickBot="1">
      <c r="A32" s="154" t="s">
        <v>31</v>
      </c>
      <c r="B32" s="155">
        <f>+SUM(B16:B31)</f>
        <v>52867.310000000005</v>
      </c>
      <c r="C32" s="155">
        <f t="shared" ref="C32:AG32" si="2">+SUM(C16:C31)</f>
        <v>47115.64</v>
      </c>
      <c r="D32" s="155">
        <f t="shared" si="2"/>
        <v>52867.310000000005</v>
      </c>
      <c r="E32" s="155">
        <f t="shared" si="2"/>
        <v>47115.64</v>
      </c>
      <c r="F32" s="155">
        <f t="shared" si="2"/>
        <v>50149.479999999996</v>
      </c>
      <c r="G32" s="155">
        <f t="shared" si="2"/>
        <v>46524.639999999999</v>
      </c>
      <c r="H32" s="155">
        <f t="shared" si="2"/>
        <v>103016.79000000001</v>
      </c>
      <c r="I32" s="155">
        <f t="shared" si="2"/>
        <v>93640.28</v>
      </c>
      <c r="J32" s="155">
        <f t="shared" si="2"/>
        <v>48400.68</v>
      </c>
      <c r="K32" s="155">
        <f t="shared" si="2"/>
        <v>54609.64</v>
      </c>
      <c r="L32" s="155">
        <f t="shared" si="2"/>
        <v>151417.46999999997</v>
      </c>
      <c r="M32" s="155">
        <f t="shared" si="2"/>
        <v>141014.91999999998</v>
      </c>
      <c r="N32" s="155">
        <f t="shared" si="2"/>
        <v>49326.85</v>
      </c>
      <c r="O32" s="155">
        <f t="shared" si="2"/>
        <v>50214.64</v>
      </c>
      <c r="P32" s="155">
        <f t="shared" si="2"/>
        <v>200744.31999999998</v>
      </c>
      <c r="Q32" s="155">
        <f t="shared" si="2"/>
        <v>179342.56</v>
      </c>
      <c r="R32" s="155">
        <f t="shared" si="2"/>
        <v>55335.399999999994</v>
      </c>
      <c r="S32" s="155">
        <f t="shared" si="2"/>
        <v>48602.64</v>
      </c>
      <c r="T32" s="155">
        <f t="shared" si="2"/>
        <v>256079.71999999997</v>
      </c>
      <c r="U32" s="155">
        <f t="shared" si="2"/>
        <v>220866.2</v>
      </c>
      <c r="V32" s="155">
        <f t="shared" si="2"/>
        <v>47329.56</v>
      </c>
      <c r="W32" s="155">
        <f t="shared" si="2"/>
        <v>50826.64</v>
      </c>
      <c r="X32" s="155">
        <f t="shared" si="2"/>
        <v>303409.28000000003</v>
      </c>
      <c r="Y32" s="155">
        <f t="shared" si="2"/>
        <v>265582.83999999997</v>
      </c>
      <c r="Z32" s="155">
        <f t="shared" si="2"/>
        <v>60312.990000000005</v>
      </c>
      <c r="AA32" s="155">
        <f t="shared" si="2"/>
        <v>50518.28</v>
      </c>
      <c r="AB32" s="155">
        <f t="shared" si="2"/>
        <v>363722.2699999999</v>
      </c>
      <c r="AC32" s="155">
        <f t="shared" si="2"/>
        <v>309209.12</v>
      </c>
      <c r="AD32" s="155">
        <f t="shared" si="2"/>
        <v>51692.13</v>
      </c>
      <c r="AE32" s="155">
        <f t="shared" si="2"/>
        <v>49335.28</v>
      </c>
      <c r="AF32" s="155">
        <f t="shared" si="2"/>
        <v>415414.4</v>
      </c>
      <c r="AG32" s="155">
        <f t="shared" si="2"/>
        <v>351654.40000000002</v>
      </c>
    </row>
    <row r="33" spans="1:33" s="124" customFormat="1" ht="15" customHeight="1">
      <c r="A33" s="149"/>
      <c r="B33" s="150"/>
      <c r="C33" s="151"/>
      <c r="D33" s="151"/>
      <c r="E33" s="152"/>
      <c r="F33" s="153"/>
      <c r="G33" s="151"/>
      <c r="H33" s="151"/>
      <c r="I33" s="152"/>
      <c r="J33" s="153"/>
      <c r="K33" s="151"/>
      <c r="L33" s="151"/>
      <c r="M33" s="152"/>
      <c r="N33" s="153"/>
      <c r="O33" s="151"/>
      <c r="P33" s="151"/>
      <c r="Q33" s="152"/>
      <c r="R33" s="153"/>
      <c r="S33" s="151"/>
      <c r="T33" s="151"/>
      <c r="U33" s="152"/>
      <c r="V33" s="153"/>
      <c r="W33" s="151"/>
      <c r="X33" s="151"/>
      <c r="Y33" s="152"/>
      <c r="Z33" s="153"/>
      <c r="AA33" s="151"/>
      <c r="AB33" s="151"/>
      <c r="AC33" s="152"/>
      <c r="AD33" s="153"/>
      <c r="AE33" s="151"/>
      <c r="AF33" s="151"/>
      <c r="AG33" s="152"/>
    </row>
    <row r="34" spans="1:33" s="124" customFormat="1" ht="15" customHeight="1" thickBot="1">
      <c r="A34" s="149"/>
      <c r="B34" s="150"/>
      <c r="C34" s="151"/>
      <c r="D34" s="151"/>
      <c r="E34" s="152"/>
      <c r="F34" s="153"/>
      <c r="G34" s="151"/>
      <c r="H34" s="151"/>
      <c r="I34" s="152"/>
      <c r="J34" s="153"/>
      <c r="K34" s="151"/>
      <c r="L34" s="151"/>
      <c r="M34" s="152"/>
      <c r="N34" s="153"/>
      <c r="O34" s="151"/>
      <c r="P34" s="151"/>
      <c r="Q34" s="152"/>
      <c r="R34" s="153"/>
      <c r="S34" s="151"/>
      <c r="T34" s="151"/>
      <c r="U34" s="152"/>
      <c r="V34" s="153"/>
      <c r="W34" s="151"/>
      <c r="X34" s="151"/>
      <c r="Y34" s="152"/>
      <c r="Z34" s="153"/>
      <c r="AA34" s="151"/>
      <c r="AB34" s="151"/>
      <c r="AC34" s="152"/>
      <c r="AD34" s="153"/>
      <c r="AE34" s="151"/>
      <c r="AF34" s="151"/>
      <c r="AG34" s="152"/>
    </row>
    <row r="35" spans="1:33" s="124" customFormat="1" ht="15" customHeight="1" thickBot="1">
      <c r="A35" s="154" t="s">
        <v>32</v>
      </c>
      <c r="B35" s="155">
        <f>+B14-B32</f>
        <v>154329.28</v>
      </c>
      <c r="C35" s="155">
        <f t="shared" ref="C35:AG35" si="3">+C14-C32</f>
        <v>140498.35999999999</v>
      </c>
      <c r="D35" s="155">
        <f t="shared" si="3"/>
        <v>154329.28</v>
      </c>
      <c r="E35" s="155">
        <f t="shared" si="3"/>
        <v>140498.35999999999</v>
      </c>
      <c r="F35" s="155">
        <f t="shared" si="3"/>
        <v>146311.22999999998</v>
      </c>
      <c r="G35" s="155">
        <f t="shared" si="3"/>
        <v>144641.35999999999</v>
      </c>
      <c r="H35" s="155">
        <f t="shared" si="3"/>
        <v>300640.51</v>
      </c>
      <c r="I35" s="155">
        <f t="shared" si="3"/>
        <v>285139.71999999997</v>
      </c>
      <c r="J35" s="155">
        <f t="shared" si="3"/>
        <v>145167.08000000002</v>
      </c>
      <c r="K35" s="155">
        <f t="shared" si="3"/>
        <v>143058.35999999999</v>
      </c>
      <c r="L35" s="155">
        <f t="shared" si="3"/>
        <v>445807.58999999997</v>
      </c>
      <c r="M35" s="155">
        <f t="shared" si="3"/>
        <v>388875.08</v>
      </c>
      <c r="N35" s="155">
        <f t="shared" si="3"/>
        <v>135626.49</v>
      </c>
      <c r="O35" s="155">
        <f t="shared" si="3"/>
        <v>136532.35999999999</v>
      </c>
      <c r="P35" s="155">
        <f t="shared" si="3"/>
        <v>581434.08000000007</v>
      </c>
      <c r="Q35" s="155">
        <f t="shared" si="3"/>
        <v>491758.44</v>
      </c>
      <c r="R35" s="155">
        <f t="shared" si="3"/>
        <v>138266.66</v>
      </c>
      <c r="S35" s="155">
        <f t="shared" si="3"/>
        <v>132283.35999999999</v>
      </c>
      <c r="T35" s="155">
        <f t="shared" si="3"/>
        <v>719700.74000000011</v>
      </c>
      <c r="U35" s="155">
        <f t="shared" si="3"/>
        <v>585584.80000000005</v>
      </c>
      <c r="V35" s="155">
        <f t="shared" si="3"/>
        <v>149480.64000000001</v>
      </c>
      <c r="W35" s="155">
        <f t="shared" si="3"/>
        <v>134994.35999999999</v>
      </c>
      <c r="X35" s="155">
        <f t="shared" si="3"/>
        <v>869181.38000000012</v>
      </c>
      <c r="Y35" s="155">
        <f t="shared" si="3"/>
        <v>680131.16</v>
      </c>
      <c r="Z35" s="155">
        <f t="shared" si="3"/>
        <v>140987.84999999998</v>
      </c>
      <c r="AA35" s="155">
        <f t="shared" si="3"/>
        <v>135917.72</v>
      </c>
      <c r="AB35" s="155">
        <f t="shared" si="3"/>
        <v>1010169.2300000001</v>
      </c>
      <c r="AC35" s="155">
        <f t="shared" si="3"/>
        <v>776357.88</v>
      </c>
      <c r="AD35" s="155">
        <f t="shared" si="3"/>
        <v>137086.15</v>
      </c>
      <c r="AE35" s="155">
        <f t="shared" si="3"/>
        <v>148402.72</v>
      </c>
      <c r="AF35" s="155">
        <f t="shared" si="3"/>
        <v>1147255.3800000004</v>
      </c>
      <c r="AG35" s="155">
        <f t="shared" si="3"/>
        <v>886154.6</v>
      </c>
    </row>
    <row r="36" spans="1:33" s="124" customFormat="1" ht="15" customHeight="1">
      <c r="A36" s="149" t="s">
        <v>40</v>
      </c>
      <c r="B36" s="150">
        <v>0</v>
      </c>
      <c r="C36" s="151">
        <v>0</v>
      </c>
      <c r="D36" s="151">
        <v>0</v>
      </c>
      <c r="E36" s="152">
        <v>0</v>
      </c>
      <c r="F36" s="153">
        <v>0</v>
      </c>
      <c r="G36" s="151">
        <v>0</v>
      </c>
      <c r="H36" s="151">
        <v>0</v>
      </c>
      <c r="I36" s="152">
        <v>0</v>
      </c>
      <c r="J36" s="153">
        <v>579.5</v>
      </c>
      <c r="K36" s="151">
        <v>0</v>
      </c>
      <c r="L36" s="151">
        <v>579.5</v>
      </c>
      <c r="M36" s="152">
        <v>0</v>
      </c>
      <c r="N36" s="153">
        <v>0</v>
      </c>
      <c r="O36" s="151">
        <v>1500</v>
      </c>
      <c r="P36" s="151">
        <v>579.5</v>
      </c>
      <c r="Q36" s="152">
        <v>0</v>
      </c>
      <c r="R36" s="153">
        <v>0</v>
      </c>
      <c r="S36" s="151">
        <v>0</v>
      </c>
      <c r="T36" s="151">
        <v>579.5</v>
      </c>
      <c r="U36" s="152">
        <v>0</v>
      </c>
      <c r="V36" s="153">
        <v>712.28</v>
      </c>
      <c r="W36" s="151">
        <v>500</v>
      </c>
      <c r="X36" s="151">
        <v>1291.78</v>
      </c>
      <c r="Y36" s="152">
        <v>80</v>
      </c>
      <c r="Z36" s="153">
        <v>0</v>
      </c>
      <c r="AA36" s="151">
        <v>450</v>
      </c>
      <c r="AB36" s="151">
        <v>1291.78</v>
      </c>
      <c r="AC36" s="152">
        <v>530</v>
      </c>
      <c r="AD36" s="153">
        <v>-1291.78</v>
      </c>
      <c r="AE36" s="151">
        <v>3650</v>
      </c>
      <c r="AF36" s="151">
        <v>0</v>
      </c>
      <c r="AG36" s="152">
        <v>3430</v>
      </c>
    </row>
    <row r="37" spans="1:33" s="124" customFormat="1" ht="15" customHeight="1">
      <c r="A37" s="149" t="s">
        <v>41</v>
      </c>
      <c r="B37" s="150">
        <v>1561.32</v>
      </c>
      <c r="C37" s="151">
        <v>0</v>
      </c>
      <c r="D37" s="151">
        <v>1561.32</v>
      </c>
      <c r="E37" s="152">
        <v>0</v>
      </c>
      <c r="F37" s="153">
        <v>3669.51</v>
      </c>
      <c r="G37" s="151">
        <v>0</v>
      </c>
      <c r="H37" s="151">
        <v>5230.83</v>
      </c>
      <c r="I37" s="152">
        <v>0</v>
      </c>
      <c r="J37" s="153">
        <v>1519</v>
      </c>
      <c r="K37" s="151">
        <v>0</v>
      </c>
      <c r="L37" s="151">
        <v>6749.83</v>
      </c>
      <c r="M37" s="152">
        <v>0</v>
      </c>
      <c r="N37" s="153">
        <v>1541.53</v>
      </c>
      <c r="O37" s="151">
        <v>0</v>
      </c>
      <c r="P37" s="151">
        <v>8291.36</v>
      </c>
      <c r="Q37" s="152">
        <v>0</v>
      </c>
      <c r="R37" s="153">
        <v>1541.53</v>
      </c>
      <c r="S37" s="151">
        <v>0</v>
      </c>
      <c r="T37" s="151">
        <v>9832.89</v>
      </c>
      <c r="U37" s="152">
        <v>0</v>
      </c>
      <c r="V37" s="153">
        <v>4741.53</v>
      </c>
      <c r="W37" s="151">
        <v>0</v>
      </c>
      <c r="X37" s="151">
        <v>14574.42</v>
      </c>
      <c r="Y37" s="152">
        <v>0</v>
      </c>
      <c r="Z37" s="153">
        <v>1541.53</v>
      </c>
      <c r="AA37" s="151">
        <v>0</v>
      </c>
      <c r="AB37" s="151">
        <v>16115.95</v>
      </c>
      <c r="AC37" s="152">
        <v>0</v>
      </c>
      <c r="AD37" s="153">
        <v>9341.5300000000007</v>
      </c>
      <c r="AE37" s="151">
        <v>0</v>
      </c>
      <c r="AF37" s="151">
        <v>25457.48</v>
      </c>
      <c r="AG37" s="152">
        <v>0</v>
      </c>
    </row>
    <row r="38" spans="1:33" s="124" customFormat="1" ht="15" customHeight="1">
      <c r="A38" s="149" t="s">
        <v>42</v>
      </c>
      <c r="B38" s="150">
        <v>0</v>
      </c>
      <c r="C38" s="151">
        <v>0</v>
      </c>
      <c r="D38" s="151">
        <v>0</v>
      </c>
      <c r="E38" s="152">
        <v>0</v>
      </c>
      <c r="F38" s="153">
        <v>0</v>
      </c>
      <c r="G38" s="151">
        <v>0</v>
      </c>
      <c r="H38" s="151">
        <v>0</v>
      </c>
      <c r="I38" s="152">
        <v>0</v>
      </c>
      <c r="J38" s="153">
        <v>0</v>
      </c>
      <c r="K38" s="151">
        <v>0</v>
      </c>
      <c r="L38" s="151">
        <v>0</v>
      </c>
      <c r="M38" s="152">
        <v>0</v>
      </c>
      <c r="N38" s="153">
        <v>800</v>
      </c>
      <c r="O38" s="151">
        <v>800</v>
      </c>
      <c r="P38" s="151">
        <v>800</v>
      </c>
      <c r="Q38" s="152">
        <v>800</v>
      </c>
      <c r="R38" s="153">
        <v>0</v>
      </c>
      <c r="S38" s="151">
        <v>0</v>
      </c>
      <c r="T38" s="151">
        <v>800</v>
      </c>
      <c r="U38" s="152">
        <v>800</v>
      </c>
      <c r="V38" s="153">
        <v>9195.33</v>
      </c>
      <c r="W38" s="151">
        <v>8911</v>
      </c>
      <c r="X38" s="151">
        <v>9995.33</v>
      </c>
      <c r="Y38" s="152">
        <v>9711</v>
      </c>
      <c r="Z38" s="153">
        <v>0</v>
      </c>
      <c r="AA38" s="151">
        <v>0</v>
      </c>
      <c r="AB38" s="151">
        <v>9995.33</v>
      </c>
      <c r="AC38" s="152">
        <v>9711</v>
      </c>
      <c r="AD38" s="153">
        <v>0</v>
      </c>
      <c r="AE38" s="151">
        <v>0</v>
      </c>
      <c r="AF38" s="151">
        <v>9995.33</v>
      </c>
      <c r="AG38" s="152">
        <v>9711</v>
      </c>
    </row>
    <row r="39" spans="1:33" s="124" customFormat="1" ht="15" customHeight="1" thickBot="1">
      <c r="A39" s="149" t="s">
        <v>43</v>
      </c>
      <c r="B39" s="150">
        <v>68067.73</v>
      </c>
      <c r="C39" s="151">
        <v>68067.73</v>
      </c>
      <c r="D39" s="151">
        <v>68067.73</v>
      </c>
      <c r="E39" s="152">
        <v>68067.73</v>
      </c>
      <c r="F39" s="153">
        <v>61480.53</v>
      </c>
      <c r="G39" s="151">
        <v>68067.73</v>
      </c>
      <c r="H39" s="151">
        <v>129548.26</v>
      </c>
      <c r="I39" s="152">
        <v>136135.46</v>
      </c>
      <c r="J39" s="153">
        <v>68067.73</v>
      </c>
      <c r="K39" s="151">
        <v>61480.53</v>
      </c>
      <c r="L39" s="151">
        <v>197615.99</v>
      </c>
      <c r="M39" s="152">
        <v>197615.99</v>
      </c>
      <c r="N39" s="153">
        <v>65872</v>
      </c>
      <c r="O39" s="151">
        <v>68067.73</v>
      </c>
      <c r="P39" s="151">
        <v>263487.99</v>
      </c>
      <c r="Q39" s="152">
        <v>265683.71999999997</v>
      </c>
      <c r="R39" s="153">
        <v>68067.73</v>
      </c>
      <c r="S39" s="151">
        <v>65872</v>
      </c>
      <c r="T39" s="151">
        <v>331555.71999999997</v>
      </c>
      <c r="U39" s="152">
        <v>331555.71999999997</v>
      </c>
      <c r="V39" s="153">
        <v>65872</v>
      </c>
      <c r="W39" s="151">
        <v>68067.73</v>
      </c>
      <c r="X39" s="151">
        <v>397427.72</v>
      </c>
      <c r="Y39" s="152">
        <v>399623.45</v>
      </c>
      <c r="Z39" s="153">
        <v>68067.73</v>
      </c>
      <c r="AA39" s="151">
        <v>65872</v>
      </c>
      <c r="AB39" s="151">
        <v>465495.45</v>
      </c>
      <c r="AC39" s="152">
        <v>465495.45</v>
      </c>
      <c r="AD39" s="153">
        <v>68067.73</v>
      </c>
      <c r="AE39" s="151">
        <v>68067.73</v>
      </c>
      <c r="AF39" s="151">
        <v>533563.18000000005</v>
      </c>
      <c r="AG39" s="152">
        <v>533563.18000000005</v>
      </c>
    </row>
    <row r="40" spans="1:33" s="124" customFormat="1" ht="15" customHeight="1" thickBot="1">
      <c r="A40" s="154" t="s">
        <v>33</v>
      </c>
      <c r="B40" s="155">
        <f>+SUM(B36:B39)</f>
        <v>69629.05</v>
      </c>
      <c r="C40" s="155">
        <f t="shared" ref="C40:AG40" si="4">+SUM(C36:C39)</f>
        <v>68067.73</v>
      </c>
      <c r="D40" s="155">
        <f t="shared" si="4"/>
        <v>69629.05</v>
      </c>
      <c r="E40" s="155">
        <f t="shared" si="4"/>
        <v>68067.73</v>
      </c>
      <c r="F40" s="155">
        <f t="shared" si="4"/>
        <v>65150.04</v>
      </c>
      <c r="G40" s="155">
        <f t="shared" si="4"/>
        <v>68067.73</v>
      </c>
      <c r="H40" s="155">
        <f t="shared" si="4"/>
        <v>134779.09</v>
      </c>
      <c r="I40" s="155">
        <f t="shared" si="4"/>
        <v>136135.46</v>
      </c>
      <c r="J40" s="155">
        <f t="shared" si="4"/>
        <v>70166.23</v>
      </c>
      <c r="K40" s="155">
        <f t="shared" si="4"/>
        <v>61480.53</v>
      </c>
      <c r="L40" s="155">
        <f t="shared" si="4"/>
        <v>204945.31999999998</v>
      </c>
      <c r="M40" s="155">
        <f t="shared" si="4"/>
        <v>197615.99</v>
      </c>
      <c r="N40" s="155">
        <f t="shared" si="4"/>
        <v>68213.53</v>
      </c>
      <c r="O40" s="155">
        <f t="shared" si="4"/>
        <v>70367.73</v>
      </c>
      <c r="P40" s="155">
        <f t="shared" si="4"/>
        <v>273158.84999999998</v>
      </c>
      <c r="Q40" s="155">
        <f t="shared" si="4"/>
        <v>266483.71999999997</v>
      </c>
      <c r="R40" s="155">
        <f t="shared" si="4"/>
        <v>69609.259999999995</v>
      </c>
      <c r="S40" s="155">
        <f t="shared" si="4"/>
        <v>65872</v>
      </c>
      <c r="T40" s="155">
        <f t="shared" si="4"/>
        <v>342768.11</v>
      </c>
      <c r="U40" s="155">
        <f t="shared" si="4"/>
        <v>332355.71999999997</v>
      </c>
      <c r="V40" s="155">
        <f t="shared" si="4"/>
        <v>80521.14</v>
      </c>
      <c r="W40" s="155">
        <f t="shared" si="4"/>
        <v>77478.73</v>
      </c>
      <c r="X40" s="155">
        <f t="shared" si="4"/>
        <v>423289.25</v>
      </c>
      <c r="Y40" s="155">
        <f t="shared" si="4"/>
        <v>409414.45</v>
      </c>
      <c r="Z40" s="155">
        <f t="shared" si="4"/>
        <v>69609.259999999995</v>
      </c>
      <c r="AA40" s="155">
        <f t="shared" si="4"/>
        <v>66322</v>
      </c>
      <c r="AB40" s="155">
        <f t="shared" si="4"/>
        <v>492898.51</v>
      </c>
      <c r="AC40" s="155">
        <f t="shared" si="4"/>
        <v>475736.45</v>
      </c>
      <c r="AD40" s="155">
        <f t="shared" si="4"/>
        <v>76117.48</v>
      </c>
      <c r="AE40" s="155">
        <f t="shared" si="4"/>
        <v>71717.73</v>
      </c>
      <c r="AF40" s="155">
        <f t="shared" si="4"/>
        <v>569015.99</v>
      </c>
      <c r="AG40" s="155">
        <f t="shared" si="4"/>
        <v>546704.18000000005</v>
      </c>
    </row>
    <row r="41" spans="1:33" s="124" customFormat="1" ht="15" customHeight="1" thickBot="1">
      <c r="A41" s="154" t="s">
        <v>34</v>
      </c>
      <c r="B41" s="156">
        <f>+B35-B40</f>
        <v>84700.23</v>
      </c>
      <c r="C41" s="156">
        <f t="shared" ref="C41:AG41" si="5">+C35-C40</f>
        <v>72430.62999999999</v>
      </c>
      <c r="D41" s="156">
        <f t="shared" si="5"/>
        <v>84700.23</v>
      </c>
      <c r="E41" s="156">
        <f t="shared" si="5"/>
        <v>72430.62999999999</v>
      </c>
      <c r="F41" s="156">
        <f t="shared" si="5"/>
        <v>81161.189999999973</v>
      </c>
      <c r="G41" s="156">
        <f t="shared" si="5"/>
        <v>76573.62999999999</v>
      </c>
      <c r="H41" s="156">
        <f t="shared" si="5"/>
        <v>165861.42000000001</v>
      </c>
      <c r="I41" s="156">
        <f t="shared" si="5"/>
        <v>149004.25999999998</v>
      </c>
      <c r="J41" s="156">
        <f t="shared" si="5"/>
        <v>75000.85000000002</v>
      </c>
      <c r="K41" s="156">
        <f t="shared" si="5"/>
        <v>81577.829999999987</v>
      </c>
      <c r="L41" s="156">
        <f t="shared" si="5"/>
        <v>240862.27</v>
      </c>
      <c r="M41" s="156">
        <f t="shared" si="5"/>
        <v>191259.09000000003</v>
      </c>
      <c r="N41" s="156">
        <f t="shared" si="5"/>
        <v>67412.959999999992</v>
      </c>
      <c r="O41" s="156">
        <f t="shared" si="5"/>
        <v>66164.62999999999</v>
      </c>
      <c r="P41" s="156">
        <f t="shared" si="5"/>
        <v>308275.2300000001</v>
      </c>
      <c r="Q41" s="156">
        <f t="shared" si="5"/>
        <v>225274.72000000003</v>
      </c>
      <c r="R41" s="156">
        <f t="shared" si="5"/>
        <v>68657.400000000009</v>
      </c>
      <c r="S41" s="156">
        <f t="shared" si="5"/>
        <v>66411.359999999986</v>
      </c>
      <c r="T41" s="156">
        <f t="shared" si="5"/>
        <v>376932.63000000012</v>
      </c>
      <c r="U41" s="156">
        <f t="shared" si="5"/>
        <v>253229.08000000007</v>
      </c>
      <c r="V41" s="156">
        <f t="shared" si="5"/>
        <v>68959.500000000015</v>
      </c>
      <c r="W41" s="156">
        <f t="shared" si="5"/>
        <v>57515.62999999999</v>
      </c>
      <c r="X41" s="156">
        <f t="shared" si="5"/>
        <v>445892.13000000012</v>
      </c>
      <c r="Y41" s="156">
        <f t="shared" si="5"/>
        <v>270716.71000000002</v>
      </c>
      <c r="Z41" s="156">
        <f t="shared" si="5"/>
        <v>71378.589999999982</v>
      </c>
      <c r="AA41" s="156">
        <f t="shared" si="5"/>
        <v>69595.72</v>
      </c>
      <c r="AB41" s="156">
        <f t="shared" si="5"/>
        <v>517270.72000000009</v>
      </c>
      <c r="AC41" s="156">
        <f t="shared" si="5"/>
        <v>300621.43</v>
      </c>
      <c r="AD41" s="156">
        <f t="shared" si="5"/>
        <v>60968.67</v>
      </c>
      <c r="AE41" s="156">
        <f t="shared" si="5"/>
        <v>76684.990000000005</v>
      </c>
      <c r="AF41" s="156">
        <f t="shared" si="5"/>
        <v>578239.39000000036</v>
      </c>
      <c r="AG41" s="156">
        <f t="shared" si="5"/>
        <v>339450.41999999993</v>
      </c>
    </row>
    <row r="42" spans="1:33">
      <c r="F42" s="124"/>
      <c r="G42" s="124"/>
      <c r="H42" s="124"/>
      <c r="I42" s="124"/>
      <c r="J42" s="124"/>
      <c r="K42" s="124"/>
      <c r="L42" s="124"/>
      <c r="M42" s="124"/>
      <c r="Z42" s="157"/>
    </row>
    <row r="45" spans="1:33" ht="13.5" thickBot="1"/>
    <row r="46" spans="1:33" s="124" customFormat="1" ht="15" customHeight="1" thickBot="1">
      <c r="A46" s="154" t="s">
        <v>34</v>
      </c>
      <c r="B46" s="158">
        <v>84700.23</v>
      </c>
      <c r="C46" s="159">
        <v>72430.63</v>
      </c>
      <c r="D46" s="159">
        <v>84700.23</v>
      </c>
      <c r="E46" s="160">
        <v>72430.63</v>
      </c>
      <c r="F46" s="158">
        <v>81161.19</v>
      </c>
      <c r="G46" s="159">
        <v>76573.63</v>
      </c>
      <c r="H46" s="159">
        <v>165861.42000000001</v>
      </c>
      <c r="I46" s="160">
        <v>149004.26</v>
      </c>
      <c r="J46" s="158">
        <v>75000.850000000006</v>
      </c>
      <c r="K46" s="159">
        <v>81577.83</v>
      </c>
      <c r="L46" s="159">
        <v>240862.27</v>
      </c>
      <c r="M46" s="160">
        <v>191259.09</v>
      </c>
      <c r="N46" s="158">
        <v>67412.960000000006</v>
      </c>
      <c r="O46" s="159">
        <v>66164.63</v>
      </c>
      <c r="P46" s="159">
        <v>308275.23</v>
      </c>
      <c r="Q46" s="160">
        <v>225274.72</v>
      </c>
      <c r="R46" s="158">
        <v>68657.399999999994</v>
      </c>
      <c r="S46" s="159">
        <v>66411.360000000001</v>
      </c>
      <c r="T46" s="159">
        <v>376932.63</v>
      </c>
      <c r="U46" s="160">
        <v>253229.08</v>
      </c>
      <c r="V46" s="158">
        <v>68959.5</v>
      </c>
      <c r="W46" s="159">
        <v>57515.63</v>
      </c>
      <c r="X46" s="159">
        <v>445892.13</v>
      </c>
      <c r="Y46" s="160">
        <v>270716.71000000002</v>
      </c>
      <c r="Z46" s="158">
        <v>71378.59</v>
      </c>
      <c r="AA46" s="159">
        <v>69595.72</v>
      </c>
      <c r="AB46" s="159">
        <v>517270.72</v>
      </c>
      <c r="AC46" s="160">
        <v>300621.43</v>
      </c>
      <c r="AD46" s="158">
        <v>60968.67</v>
      </c>
      <c r="AE46" s="159">
        <v>76684.990000000005</v>
      </c>
      <c r="AF46" s="159">
        <v>578239.39</v>
      </c>
      <c r="AG46" s="160">
        <v>339450.42</v>
      </c>
    </row>
    <row r="48" spans="1:33">
      <c r="B48" s="161">
        <f>+B41-B46</f>
        <v>0</v>
      </c>
      <c r="C48" s="161">
        <f t="shared" ref="C48:AG48" si="6">+C41-C46</f>
        <v>0</v>
      </c>
      <c r="D48" s="161">
        <f t="shared" si="6"/>
        <v>0</v>
      </c>
      <c r="E48" s="161">
        <f t="shared" si="6"/>
        <v>0</v>
      </c>
      <c r="F48" s="161">
        <f t="shared" si="6"/>
        <v>0</v>
      </c>
      <c r="G48" s="161">
        <f t="shared" si="6"/>
        <v>0</v>
      </c>
      <c r="H48" s="161">
        <f t="shared" si="6"/>
        <v>0</v>
      </c>
      <c r="I48" s="161">
        <f t="shared" si="6"/>
        <v>0</v>
      </c>
      <c r="J48" s="161">
        <f t="shared" si="6"/>
        <v>0</v>
      </c>
      <c r="K48" s="161">
        <f t="shared" si="6"/>
        <v>0</v>
      </c>
      <c r="L48" s="161">
        <f t="shared" si="6"/>
        <v>0</v>
      </c>
      <c r="M48" s="161">
        <f t="shared" si="6"/>
        <v>0</v>
      </c>
      <c r="N48" s="161">
        <f t="shared" si="6"/>
        <v>0</v>
      </c>
      <c r="O48" s="161">
        <f t="shared" si="6"/>
        <v>0</v>
      </c>
      <c r="P48" s="161">
        <f t="shared" si="6"/>
        <v>0</v>
      </c>
      <c r="Q48" s="161">
        <f t="shared" si="6"/>
        <v>0</v>
      </c>
      <c r="R48" s="161">
        <f t="shared" si="6"/>
        <v>0</v>
      </c>
      <c r="S48" s="161">
        <f t="shared" si="6"/>
        <v>0</v>
      </c>
      <c r="T48" s="161">
        <f t="shared" si="6"/>
        <v>0</v>
      </c>
      <c r="U48" s="161">
        <f t="shared" si="6"/>
        <v>0</v>
      </c>
      <c r="V48" s="161">
        <f t="shared" si="6"/>
        <v>0</v>
      </c>
      <c r="W48" s="161">
        <f t="shared" si="6"/>
        <v>0</v>
      </c>
      <c r="X48" s="161">
        <f t="shared" si="6"/>
        <v>0</v>
      </c>
      <c r="Y48" s="161">
        <f t="shared" si="6"/>
        <v>0</v>
      </c>
      <c r="Z48" s="161">
        <f t="shared" si="6"/>
        <v>0</v>
      </c>
      <c r="AA48" s="161">
        <f t="shared" si="6"/>
        <v>0</v>
      </c>
      <c r="AB48" s="161">
        <f t="shared" si="6"/>
        <v>0</v>
      </c>
      <c r="AC48" s="161">
        <f t="shared" si="6"/>
        <v>0</v>
      </c>
      <c r="AD48" s="161">
        <f t="shared" si="6"/>
        <v>0</v>
      </c>
      <c r="AE48" s="161">
        <f t="shared" si="6"/>
        <v>0</v>
      </c>
      <c r="AF48" s="161">
        <f t="shared" si="6"/>
        <v>0</v>
      </c>
      <c r="AG48" s="161">
        <f t="shared" si="6"/>
        <v>0</v>
      </c>
    </row>
  </sheetData>
  <mergeCells count="8">
    <mergeCell ref="Z4:AC4"/>
    <mergeCell ref="AD4:AG4"/>
    <mergeCell ref="B4:E4"/>
    <mergeCell ref="F4:I4"/>
    <mergeCell ref="J4:M4"/>
    <mergeCell ref="N4:Q4"/>
    <mergeCell ref="R4:U4"/>
    <mergeCell ref="V4:Y4"/>
  </mergeCells>
  <pageMargins left="0.7" right="0.7" top="0.7" bottom="0.7" header="0.5" footer="0.5"/>
  <pageSetup paperSize="5" fitToHeight="990" orientation="landscape" useFirstPageNumber="1" r:id="rId1"/>
  <headerFooter alignWithMargins="0">
    <oddHeader>&amp;R&amp;B&amp;D &amp;T</oddHeader>
    <oddFooter>&amp;C&amp;B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3"/>
  <sheetViews>
    <sheetView showGridLines="0" workbookViewId="0">
      <selection activeCell="G31" sqref="G31"/>
    </sheetView>
  </sheetViews>
  <sheetFormatPr defaultColWidth="10.6640625" defaultRowHeight="12.75"/>
  <cols>
    <col min="1" max="1" width="54.1640625" style="57" bestFit="1" customWidth="1"/>
    <col min="2" max="25" width="18.33203125" style="57" customWidth="1"/>
    <col min="26" max="16384" width="10.6640625" style="57"/>
  </cols>
  <sheetData>
    <row r="1" spans="1:25" ht="15" customHeight="1">
      <c r="A1" s="170" t="s">
        <v>452</v>
      </c>
      <c r="B1" s="170"/>
      <c r="E1" s="170"/>
      <c r="H1" s="170"/>
      <c r="K1" s="170"/>
      <c r="N1" s="170"/>
      <c r="Q1" s="170"/>
      <c r="T1" s="170"/>
      <c r="W1" s="170"/>
    </row>
    <row r="2" spans="1:25" ht="15.75" customHeight="1" thickBot="1">
      <c r="A2" s="171" t="s">
        <v>137</v>
      </c>
      <c r="B2" s="171"/>
      <c r="E2" s="171"/>
      <c r="H2" s="171"/>
      <c r="K2" s="171"/>
      <c r="N2" s="171"/>
      <c r="Q2" s="171"/>
      <c r="T2" s="171"/>
      <c r="W2" s="171"/>
    </row>
    <row r="3" spans="1:25" ht="15" customHeight="1" thickBot="1">
      <c r="A3" s="172"/>
      <c r="B3" s="683" t="s">
        <v>19</v>
      </c>
      <c r="C3" s="684"/>
      <c r="D3" s="685"/>
      <c r="E3" s="683" t="s">
        <v>20</v>
      </c>
      <c r="F3" s="684"/>
      <c r="G3" s="685"/>
      <c r="H3" s="683" t="s">
        <v>21</v>
      </c>
      <c r="I3" s="684"/>
      <c r="J3" s="685"/>
      <c r="K3" s="683" t="s">
        <v>22</v>
      </c>
      <c r="L3" s="684"/>
      <c r="M3" s="685"/>
      <c r="N3" s="683" t="s">
        <v>23</v>
      </c>
      <c r="O3" s="684"/>
      <c r="P3" s="685"/>
      <c r="Q3" s="683" t="s">
        <v>24</v>
      </c>
      <c r="R3" s="684"/>
      <c r="S3" s="685"/>
      <c r="T3" s="683" t="s">
        <v>25</v>
      </c>
      <c r="U3" s="684"/>
      <c r="V3" s="685"/>
      <c r="W3" s="683" t="s">
        <v>26</v>
      </c>
      <c r="X3" s="684"/>
      <c r="Y3" s="685"/>
    </row>
    <row r="4" spans="1:25" s="58" customFormat="1" ht="15" customHeight="1" thickBot="1">
      <c r="A4" s="173"/>
      <c r="B4" s="231" t="s">
        <v>138</v>
      </c>
      <c r="C4" s="232" t="s">
        <v>139</v>
      </c>
      <c r="D4" s="233">
        <v>1</v>
      </c>
      <c r="E4" s="231" t="s">
        <v>138</v>
      </c>
      <c r="F4" s="232" t="s">
        <v>139</v>
      </c>
      <c r="G4" s="233">
        <v>2</v>
      </c>
      <c r="H4" s="231" t="s">
        <v>138</v>
      </c>
      <c r="I4" s="232" t="s">
        <v>139</v>
      </c>
      <c r="J4" s="233">
        <v>3</v>
      </c>
      <c r="K4" s="231" t="s">
        <v>138</v>
      </c>
      <c r="L4" s="232" t="s">
        <v>139</v>
      </c>
      <c r="M4" s="233">
        <v>4</v>
      </c>
      <c r="N4" s="231" t="s">
        <v>138</v>
      </c>
      <c r="O4" s="232" t="s">
        <v>139</v>
      </c>
      <c r="P4" s="233">
        <v>5</v>
      </c>
      <c r="Q4" s="231" t="s">
        <v>138</v>
      </c>
      <c r="R4" s="232" t="s">
        <v>139</v>
      </c>
      <c r="S4" s="233">
        <v>6</v>
      </c>
      <c r="T4" s="231" t="s">
        <v>138</v>
      </c>
      <c r="U4" s="232" t="s">
        <v>139</v>
      </c>
      <c r="V4" s="233">
        <v>7</v>
      </c>
      <c r="W4" s="231" t="s">
        <v>138</v>
      </c>
      <c r="X4" s="232" t="s">
        <v>139</v>
      </c>
      <c r="Y4" s="233">
        <v>8</v>
      </c>
    </row>
    <row r="5" spans="1:25" s="58" customFormat="1" ht="15" customHeight="1">
      <c r="A5" s="177"/>
      <c r="B5" s="174" t="s">
        <v>140</v>
      </c>
      <c r="C5" s="176" t="s">
        <v>141</v>
      </c>
      <c r="D5" s="175" t="s">
        <v>170</v>
      </c>
      <c r="E5" s="174" t="s">
        <v>140</v>
      </c>
      <c r="F5" s="176" t="s">
        <v>141</v>
      </c>
      <c r="G5" s="175" t="s">
        <v>170</v>
      </c>
      <c r="H5" s="174" t="s">
        <v>140</v>
      </c>
      <c r="I5" s="176" t="s">
        <v>141</v>
      </c>
      <c r="J5" s="175" t="s">
        <v>170</v>
      </c>
      <c r="K5" s="174" t="s">
        <v>140</v>
      </c>
      <c r="L5" s="176" t="s">
        <v>141</v>
      </c>
      <c r="M5" s="175"/>
      <c r="N5" s="174" t="s">
        <v>140</v>
      </c>
      <c r="O5" s="176" t="s">
        <v>141</v>
      </c>
      <c r="P5" s="175" t="s">
        <v>170</v>
      </c>
      <c r="Q5" s="174" t="s">
        <v>140</v>
      </c>
      <c r="R5" s="176" t="s">
        <v>141</v>
      </c>
      <c r="S5" s="175" t="s">
        <v>170</v>
      </c>
      <c r="T5" s="174" t="s">
        <v>140</v>
      </c>
      <c r="U5" s="176" t="s">
        <v>141</v>
      </c>
      <c r="V5" s="175" t="s">
        <v>170</v>
      </c>
      <c r="W5" s="174" t="s">
        <v>140</v>
      </c>
      <c r="X5" s="176" t="s">
        <v>141</v>
      </c>
      <c r="Y5" s="175" t="s">
        <v>170</v>
      </c>
    </row>
    <row r="6" spans="1:25" s="58" customFormat="1" ht="15" customHeight="1">
      <c r="A6" s="178" t="s">
        <v>58</v>
      </c>
      <c r="B6" s="179"/>
      <c r="C6" s="181"/>
      <c r="D6" s="180"/>
      <c r="E6" s="179"/>
      <c r="F6" s="181"/>
      <c r="G6" s="180"/>
      <c r="H6" s="179"/>
      <c r="I6" s="181"/>
      <c r="J6" s="180"/>
      <c r="K6" s="179"/>
      <c r="L6" s="181"/>
      <c r="M6" s="180"/>
      <c r="N6" s="179"/>
      <c r="O6" s="181"/>
      <c r="P6" s="180"/>
      <c r="Q6" s="179"/>
      <c r="R6" s="181"/>
      <c r="S6" s="180"/>
      <c r="T6" s="179"/>
      <c r="U6" s="181"/>
      <c r="V6" s="180"/>
      <c r="W6" s="179"/>
      <c r="X6" s="181"/>
      <c r="Y6" s="180"/>
    </row>
    <row r="7" spans="1:25" s="58" customFormat="1" ht="15" customHeight="1">
      <c r="A7" s="178" t="s">
        <v>59</v>
      </c>
      <c r="B7" s="179"/>
      <c r="C7" s="181"/>
      <c r="D7" s="180"/>
      <c r="E7" s="179"/>
      <c r="F7" s="181"/>
      <c r="G7" s="180"/>
      <c r="H7" s="179"/>
      <c r="I7" s="181"/>
      <c r="J7" s="180"/>
      <c r="K7" s="179"/>
      <c r="L7" s="181"/>
      <c r="M7" s="180"/>
      <c r="N7" s="179"/>
      <c r="O7" s="181"/>
      <c r="P7" s="180"/>
      <c r="Q7" s="179"/>
      <c r="R7" s="181"/>
      <c r="S7" s="180"/>
      <c r="T7" s="179"/>
      <c r="U7" s="181"/>
      <c r="V7" s="180"/>
      <c r="W7" s="179"/>
      <c r="X7" s="181"/>
      <c r="Y7" s="180"/>
    </row>
    <row r="8" spans="1:25" s="58" customFormat="1" ht="15" customHeight="1">
      <c r="A8" s="178" t="s">
        <v>60</v>
      </c>
      <c r="B8" s="179"/>
      <c r="C8" s="181"/>
      <c r="D8" s="180"/>
      <c r="E8" s="179"/>
      <c r="F8" s="181"/>
      <c r="G8" s="180"/>
      <c r="H8" s="179"/>
      <c r="I8" s="181"/>
      <c r="J8" s="180"/>
      <c r="K8" s="179"/>
      <c r="L8" s="181"/>
      <c r="M8" s="180"/>
      <c r="N8" s="179"/>
      <c r="O8" s="181"/>
      <c r="P8" s="180"/>
      <c r="Q8" s="179"/>
      <c r="R8" s="181"/>
      <c r="S8" s="180"/>
      <c r="T8" s="179"/>
      <c r="U8" s="181"/>
      <c r="V8" s="180"/>
      <c r="W8" s="179"/>
      <c r="X8" s="181"/>
      <c r="Y8" s="180"/>
    </row>
    <row r="9" spans="1:25" s="58" customFormat="1" ht="15" customHeight="1">
      <c r="A9" s="178" t="s">
        <v>61</v>
      </c>
      <c r="B9" s="216">
        <v>242579.72</v>
      </c>
      <c r="C9" s="218">
        <v>45412.92</v>
      </c>
      <c r="D9" s="217">
        <f t="shared" ref="D9:D40" si="0">+B9*$D$4</f>
        <v>242579.72</v>
      </c>
      <c r="E9" s="216">
        <v>180635.77</v>
      </c>
      <c r="F9" s="218">
        <v>-61943.95</v>
      </c>
      <c r="G9" s="217">
        <f t="shared" ref="G9:G40" si="1">+E9*$G$4</f>
        <v>361271.54</v>
      </c>
      <c r="H9" s="216">
        <v>177729.84</v>
      </c>
      <c r="I9" s="218">
        <v>-2905.93</v>
      </c>
      <c r="J9" s="217">
        <f t="shared" ref="J9:J40" si="2">+H9*$J$4</f>
        <v>533189.52</v>
      </c>
      <c r="K9" s="216">
        <v>215580.38</v>
      </c>
      <c r="L9" s="218">
        <v>37850.54</v>
      </c>
      <c r="M9" s="217">
        <f t="shared" ref="M9:M40" si="3">+K9*$M$4</f>
        <v>862321.52</v>
      </c>
      <c r="N9" s="216">
        <v>187671.26</v>
      </c>
      <c r="O9" s="218">
        <v>-27909.119999999999</v>
      </c>
      <c r="P9" s="217">
        <f t="shared" ref="P9:P40" si="4">+N9*$P$4</f>
        <v>938356.3</v>
      </c>
      <c r="Q9" s="216">
        <v>207536.85</v>
      </c>
      <c r="R9" s="218">
        <v>19865.59</v>
      </c>
      <c r="S9" s="217">
        <f t="shared" ref="S9:S40" si="5">+Q9*$S$4</f>
        <v>1245221.1000000001</v>
      </c>
      <c r="T9" s="216">
        <v>239264.69</v>
      </c>
      <c r="U9" s="218">
        <v>31727.84</v>
      </c>
      <c r="V9" s="217">
        <f t="shared" ref="V9:V40" si="6">+T9*$V$4</f>
        <v>1674852.83</v>
      </c>
      <c r="W9" s="216">
        <v>233709.29</v>
      </c>
      <c r="X9" s="218">
        <v>-5555.4</v>
      </c>
      <c r="Y9" s="217">
        <f t="shared" ref="Y9:Y40" si="7">+W9*$Y$4</f>
        <v>1869674.32</v>
      </c>
    </row>
    <row r="10" spans="1:25" s="58" customFormat="1" ht="15" customHeight="1">
      <c r="A10" s="178" t="s">
        <v>62</v>
      </c>
      <c r="B10" s="219">
        <v>11388.41</v>
      </c>
      <c r="C10" s="221">
        <v>11388.41</v>
      </c>
      <c r="D10" s="220">
        <f t="shared" si="0"/>
        <v>11388.41</v>
      </c>
      <c r="E10" s="219">
        <v>51760.51</v>
      </c>
      <c r="F10" s="221">
        <v>40372.1</v>
      </c>
      <c r="G10" s="220">
        <f t="shared" si="1"/>
        <v>103521.02</v>
      </c>
      <c r="H10" s="219">
        <v>47954.92</v>
      </c>
      <c r="I10" s="221">
        <v>-3805.59</v>
      </c>
      <c r="J10" s="220">
        <f t="shared" si="2"/>
        <v>143864.76</v>
      </c>
      <c r="K10" s="219">
        <v>57250.67</v>
      </c>
      <c r="L10" s="221">
        <v>9295.75</v>
      </c>
      <c r="M10" s="220">
        <f t="shared" si="3"/>
        <v>229002.68</v>
      </c>
      <c r="N10" s="219">
        <v>87194.25</v>
      </c>
      <c r="O10" s="221">
        <v>29943.58</v>
      </c>
      <c r="P10" s="220">
        <f t="shared" si="4"/>
        <v>435971.25</v>
      </c>
      <c r="Q10" s="219">
        <v>54379.68</v>
      </c>
      <c r="R10" s="221">
        <v>-32814.57</v>
      </c>
      <c r="S10" s="220">
        <f t="shared" si="5"/>
        <v>326278.08</v>
      </c>
      <c r="T10" s="219">
        <v>47289.83</v>
      </c>
      <c r="U10" s="221">
        <v>-7089.85</v>
      </c>
      <c r="V10" s="220">
        <f t="shared" si="6"/>
        <v>331028.81</v>
      </c>
      <c r="W10" s="219">
        <v>211.04</v>
      </c>
      <c r="X10" s="221">
        <v>-47078.79</v>
      </c>
      <c r="Y10" s="220">
        <f t="shared" si="7"/>
        <v>1688.32</v>
      </c>
    </row>
    <row r="11" spans="1:25" s="58" customFormat="1" ht="15" customHeight="1">
      <c r="A11" s="178" t="s">
        <v>60</v>
      </c>
      <c r="B11" s="222">
        <v>253968.13</v>
      </c>
      <c r="C11" s="224">
        <v>56801.33</v>
      </c>
      <c r="D11" s="223">
        <f t="shared" si="0"/>
        <v>253968.13</v>
      </c>
      <c r="E11" s="222">
        <v>232396.28</v>
      </c>
      <c r="F11" s="224">
        <v>-21571.85</v>
      </c>
      <c r="G11" s="223">
        <f t="shared" si="1"/>
        <v>464792.56</v>
      </c>
      <c r="H11" s="222">
        <v>225684.76</v>
      </c>
      <c r="I11" s="224">
        <v>-6711.52</v>
      </c>
      <c r="J11" s="223">
        <f t="shared" si="2"/>
        <v>677054.28</v>
      </c>
      <c r="K11" s="222">
        <v>272831.05</v>
      </c>
      <c r="L11" s="224">
        <v>47146.29</v>
      </c>
      <c r="M11" s="223">
        <f t="shared" si="3"/>
        <v>1091324.2</v>
      </c>
      <c r="N11" s="222">
        <v>274865.51</v>
      </c>
      <c r="O11" s="224">
        <v>2034.46</v>
      </c>
      <c r="P11" s="223">
        <f t="shared" si="4"/>
        <v>1374327.55</v>
      </c>
      <c r="Q11" s="222">
        <v>261916.53</v>
      </c>
      <c r="R11" s="224">
        <v>-12948.98</v>
      </c>
      <c r="S11" s="223">
        <f t="shared" si="5"/>
        <v>1571499.18</v>
      </c>
      <c r="T11" s="222">
        <v>286554.52</v>
      </c>
      <c r="U11" s="224">
        <v>24637.99</v>
      </c>
      <c r="V11" s="223">
        <f t="shared" si="6"/>
        <v>2005881.6400000001</v>
      </c>
      <c r="W11" s="222">
        <v>233920.33</v>
      </c>
      <c r="X11" s="224">
        <v>-52634.19</v>
      </c>
      <c r="Y11" s="223">
        <f t="shared" si="7"/>
        <v>1871362.64</v>
      </c>
    </row>
    <row r="12" spans="1:25" ht="15" customHeight="1">
      <c r="A12" s="182"/>
      <c r="B12" s="225"/>
      <c r="C12" s="227"/>
      <c r="D12" s="226">
        <f t="shared" si="0"/>
        <v>0</v>
      </c>
      <c r="E12" s="225"/>
      <c r="F12" s="227"/>
      <c r="G12" s="226">
        <f t="shared" si="1"/>
        <v>0</v>
      </c>
      <c r="H12" s="225"/>
      <c r="I12" s="227"/>
      <c r="J12" s="226">
        <f t="shared" si="2"/>
        <v>0</v>
      </c>
      <c r="K12" s="225"/>
      <c r="L12" s="227"/>
      <c r="M12" s="226">
        <f t="shared" si="3"/>
        <v>0</v>
      </c>
      <c r="N12" s="225"/>
      <c r="O12" s="227"/>
      <c r="P12" s="226">
        <f t="shared" si="4"/>
        <v>0</v>
      </c>
      <c r="Q12" s="225"/>
      <c r="R12" s="227"/>
      <c r="S12" s="226">
        <f t="shared" si="5"/>
        <v>0</v>
      </c>
      <c r="T12" s="225"/>
      <c r="U12" s="227"/>
      <c r="V12" s="226">
        <f t="shared" si="6"/>
        <v>0</v>
      </c>
      <c r="W12" s="225"/>
      <c r="X12" s="227"/>
      <c r="Y12" s="226">
        <f t="shared" si="7"/>
        <v>0</v>
      </c>
    </row>
    <row r="13" spans="1:25" s="58" customFormat="1" ht="15" customHeight="1">
      <c r="A13" s="178" t="s">
        <v>63</v>
      </c>
      <c r="B13" s="216"/>
      <c r="C13" s="218"/>
      <c r="D13" s="217">
        <f t="shared" si="0"/>
        <v>0</v>
      </c>
      <c r="E13" s="216"/>
      <c r="F13" s="218"/>
      <c r="G13" s="217">
        <f t="shared" si="1"/>
        <v>0</v>
      </c>
      <c r="H13" s="216"/>
      <c r="I13" s="218"/>
      <c r="J13" s="217">
        <f t="shared" si="2"/>
        <v>0</v>
      </c>
      <c r="K13" s="216"/>
      <c r="L13" s="218"/>
      <c r="M13" s="217">
        <f t="shared" si="3"/>
        <v>0</v>
      </c>
      <c r="N13" s="216"/>
      <c r="O13" s="218"/>
      <c r="P13" s="217">
        <f t="shared" si="4"/>
        <v>0</v>
      </c>
      <c r="Q13" s="216"/>
      <c r="R13" s="218"/>
      <c r="S13" s="217">
        <f t="shared" si="5"/>
        <v>0</v>
      </c>
      <c r="T13" s="216"/>
      <c r="U13" s="218"/>
      <c r="V13" s="217">
        <f t="shared" si="6"/>
        <v>0</v>
      </c>
      <c r="W13" s="216"/>
      <c r="X13" s="218"/>
      <c r="Y13" s="217">
        <f t="shared" si="7"/>
        <v>0</v>
      </c>
    </row>
    <row r="14" spans="1:25" s="58" customFormat="1" ht="15" customHeight="1">
      <c r="A14" s="178" t="s">
        <v>64</v>
      </c>
      <c r="B14" s="216">
        <v>82820.44</v>
      </c>
      <c r="C14" s="218">
        <v>19556.29</v>
      </c>
      <c r="D14" s="217">
        <f t="shared" si="0"/>
        <v>82820.44</v>
      </c>
      <c r="E14" s="216">
        <v>102347.13</v>
      </c>
      <c r="F14" s="218">
        <v>19526.689999999999</v>
      </c>
      <c r="G14" s="217">
        <f t="shared" si="1"/>
        <v>204694.26</v>
      </c>
      <c r="H14" s="216">
        <v>121873.82</v>
      </c>
      <c r="I14" s="218">
        <v>19526.689999999999</v>
      </c>
      <c r="J14" s="217">
        <f t="shared" si="2"/>
        <v>365621.46</v>
      </c>
      <c r="K14" s="216">
        <v>24804.68</v>
      </c>
      <c r="L14" s="218">
        <v>-97069.14</v>
      </c>
      <c r="M14" s="217">
        <f t="shared" si="3"/>
        <v>99218.72</v>
      </c>
      <c r="N14" s="216">
        <v>44331.37</v>
      </c>
      <c r="O14" s="218">
        <v>19526.689999999999</v>
      </c>
      <c r="P14" s="217">
        <f t="shared" si="4"/>
        <v>221656.85</v>
      </c>
      <c r="Q14" s="216">
        <v>63858.06</v>
      </c>
      <c r="R14" s="218">
        <v>19526.689999999999</v>
      </c>
      <c r="S14" s="217">
        <f t="shared" si="5"/>
        <v>383148.36</v>
      </c>
      <c r="T14" s="216">
        <v>83384.75</v>
      </c>
      <c r="U14" s="218">
        <v>19526.689999999999</v>
      </c>
      <c r="V14" s="217">
        <f t="shared" si="6"/>
        <v>583693.25</v>
      </c>
      <c r="W14" s="216">
        <v>102911.44</v>
      </c>
      <c r="X14" s="218">
        <v>19526.689999999999</v>
      </c>
      <c r="Y14" s="217">
        <f t="shared" si="7"/>
        <v>823291.52</v>
      </c>
    </row>
    <row r="15" spans="1:25" s="58" customFormat="1" ht="15" customHeight="1">
      <c r="A15" s="178" t="s">
        <v>65</v>
      </c>
      <c r="B15" s="216">
        <v>19493.259999999998</v>
      </c>
      <c r="C15" s="218">
        <v>1768.4</v>
      </c>
      <c r="D15" s="217">
        <f t="shared" si="0"/>
        <v>19493.259999999998</v>
      </c>
      <c r="E15" s="216">
        <v>21261.66</v>
      </c>
      <c r="F15" s="218">
        <v>1768.4</v>
      </c>
      <c r="G15" s="217">
        <f t="shared" si="1"/>
        <v>42523.32</v>
      </c>
      <c r="H15" s="216">
        <v>23030.06</v>
      </c>
      <c r="I15" s="218">
        <v>1768.4</v>
      </c>
      <c r="J15" s="217">
        <f t="shared" si="2"/>
        <v>69090.180000000008</v>
      </c>
      <c r="K15" s="216">
        <v>24798.46</v>
      </c>
      <c r="L15" s="218">
        <v>1768.4</v>
      </c>
      <c r="M15" s="217">
        <f t="shared" si="3"/>
        <v>99193.84</v>
      </c>
      <c r="N15" s="216">
        <v>26566.86</v>
      </c>
      <c r="O15" s="218">
        <v>1768.4</v>
      </c>
      <c r="P15" s="217">
        <f t="shared" si="4"/>
        <v>132834.29999999999</v>
      </c>
      <c r="Q15" s="216">
        <v>28335.26</v>
      </c>
      <c r="R15" s="218">
        <v>1768.4</v>
      </c>
      <c r="S15" s="217">
        <f t="shared" si="5"/>
        <v>170011.56</v>
      </c>
      <c r="T15" s="216">
        <v>10379.02</v>
      </c>
      <c r="U15" s="218">
        <v>-17956.240000000002</v>
      </c>
      <c r="V15" s="217">
        <f t="shared" si="6"/>
        <v>72653.14</v>
      </c>
      <c r="W15" s="216">
        <v>12147.42</v>
      </c>
      <c r="X15" s="218">
        <v>1768.4</v>
      </c>
      <c r="Y15" s="217">
        <f t="shared" si="7"/>
        <v>97179.36</v>
      </c>
    </row>
    <row r="16" spans="1:25" s="58" customFormat="1" ht="15" customHeight="1">
      <c r="A16" s="178" t="s">
        <v>66</v>
      </c>
      <c r="B16" s="219">
        <v>19089</v>
      </c>
      <c r="C16" s="221">
        <v>833</v>
      </c>
      <c r="D16" s="220">
        <f t="shared" si="0"/>
        <v>19089</v>
      </c>
      <c r="E16" s="219">
        <v>19922</v>
      </c>
      <c r="F16" s="221">
        <v>833</v>
      </c>
      <c r="G16" s="220">
        <f t="shared" si="1"/>
        <v>39844</v>
      </c>
      <c r="H16" s="219">
        <v>20755</v>
      </c>
      <c r="I16" s="221">
        <v>833</v>
      </c>
      <c r="J16" s="220">
        <f t="shared" si="2"/>
        <v>62265</v>
      </c>
      <c r="K16" s="219">
        <v>21588</v>
      </c>
      <c r="L16" s="221">
        <v>833</v>
      </c>
      <c r="M16" s="220">
        <f t="shared" si="3"/>
        <v>86352</v>
      </c>
      <c r="N16" s="219">
        <v>22421</v>
      </c>
      <c r="O16" s="221">
        <v>833</v>
      </c>
      <c r="P16" s="220">
        <f t="shared" si="4"/>
        <v>112105</v>
      </c>
      <c r="Q16" s="219">
        <v>23254</v>
      </c>
      <c r="R16" s="221">
        <v>833</v>
      </c>
      <c r="S16" s="220">
        <f t="shared" si="5"/>
        <v>139524</v>
      </c>
      <c r="T16" s="219">
        <v>24087</v>
      </c>
      <c r="U16" s="221">
        <v>833</v>
      </c>
      <c r="V16" s="220">
        <f t="shared" si="6"/>
        <v>168609</v>
      </c>
      <c r="W16" s="219">
        <v>24920</v>
      </c>
      <c r="X16" s="221">
        <v>833</v>
      </c>
      <c r="Y16" s="220">
        <f t="shared" si="7"/>
        <v>199360</v>
      </c>
    </row>
    <row r="17" spans="1:25" s="58" customFormat="1" ht="15" customHeight="1">
      <c r="A17" s="178" t="s">
        <v>63</v>
      </c>
      <c r="B17" s="222">
        <v>121402.7</v>
      </c>
      <c r="C17" s="224">
        <v>22157.69</v>
      </c>
      <c r="D17" s="223">
        <f t="shared" si="0"/>
        <v>121402.7</v>
      </c>
      <c r="E17" s="222">
        <v>143530.79</v>
      </c>
      <c r="F17" s="224">
        <v>22128.09</v>
      </c>
      <c r="G17" s="223">
        <f t="shared" si="1"/>
        <v>287061.58</v>
      </c>
      <c r="H17" s="222">
        <v>165658.88</v>
      </c>
      <c r="I17" s="224">
        <v>22128.09</v>
      </c>
      <c r="J17" s="223">
        <f t="shared" si="2"/>
        <v>496976.64000000001</v>
      </c>
      <c r="K17" s="222">
        <v>71191.14</v>
      </c>
      <c r="L17" s="224">
        <v>-94467.74</v>
      </c>
      <c r="M17" s="223">
        <f t="shared" si="3"/>
        <v>284764.56</v>
      </c>
      <c r="N17" s="222">
        <v>93319.23</v>
      </c>
      <c r="O17" s="224">
        <v>22128.09</v>
      </c>
      <c r="P17" s="223">
        <f t="shared" si="4"/>
        <v>466596.14999999997</v>
      </c>
      <c r="Q17" s="222">
        <v>115447.32</v>
      </c>
      <c r="R17" s="224">
        <v>22128.09</v>
      </c>
      <c r="S17" s="223">
        <f t="shared" si="5"/>
        <v>692683.92</v>
      </c>
      <c r="T17" s="222">
        <v>117850.77</v>
      </c>
      <c r="U17" s="224">
        <v>2403.4499999999998</v>
      </c>
      <c r="V17" s="223">
        <f t="shared" si="6"/>
        <v>824955.39</v>
      </c>
      <c r="W17" s="222">
        <v>139978.85999999999</v>
      </c>
      <c r="X17" s="224">
        <v>22128.09</v>
      </c>
      <c r="Y17" s="223">
        <f t="shared" si="7"/>
        <v>1119830.8799999999</v>
      </c>
    </row>
    <row r="18" spans="1:25" ht="15" customHeight="1">
      <c r="A18" s="182"/>
      <c r="B18" s="225"/>
      <c r="C18" s="227"/>
      <c r="D18" s="226">
        <f t="shared" si="0"/>
        <v>0</v>
      </c>
      <c r="E18" s="225"/>
      <c r="F18" s="227"/>
      <c r="G18" s="226">
        <f t="shared" si="1"/>
        <v>0</v>
      </c>
      <c r="H18" s="225"/>
      <c r="I18" s="227"/>
      <c r="J18" s="226">
        <f t="shared" si="2"/>
        <v>0</v>
      </c>
      <c r="K18" s="225"/>
      <c r="L18" s="227"/>
      <c r="M18" s="226">
        <f t="shared" si="3"/>
        <v>0</v>
      </c>
      <c r="N18" s="225"/>
      <c r="O18" s="227"/>
      <c r="P18" s="226">
        <f t="shared" si="4"/>
        <v>0</v>
      </c>
      <c r="Q18" s="225"/>
      <c r="R18" s="227"/>
      <c r="S18" s="226">
        <f t="shared" si="5"/>
        <v>0</v>
      </c>
      <c r="T18" s="225"/>
      <c r="U18" s="227"/>
      <c r="V18" s="226">
        <f t="shared" si="6"/>
        <v>0</v>
      </c>
      <c r="W18" s="225"/>
      <c r="X18" s="227"/>
      <c r="Y18" s="226">
        <f t="shared" si="7"/>
        <v>0</v>
      </c>
    </row>
    <row r="19" spans="1:25" s="58" customFormat="1" ht="15" customHeight="1">
      <c r="A19" s="178" t="s">
        <v>67</v>
      </c>
      <c r="B19" s="216"/>
      <c r="C19" s="218"/>
      <c r="D19" s="217">
        <f t="shared" si="0"/>
        <v>0</v>
      </c>
      <c r="E19" s="216"/>
      <c r="F19" s="218"/>
      <c r="G19" s="217">
        <f t="shared" si="1"/>
        <v>0</v>
      </c>
      <c r="H19" s="216"/>
      <c r="I19" s="218"/>
      <c r="J19" s="217">
        <f t="shared" si="2"/>
        <v>0</v>
      </c>
      <c r="K19" s="216"/>
      <c r="L19" s="218"/>
      <c r="M19" s="217">
        <f t="shared" si="3"/>
        <v>0</v>
      </c>
      <c r="N19" s="216"/>
      <c r="O19" s="218"/>
      <c r="P19" s="217">
        <f t="shared" si="4"/>
        <v>0</v>
      </c>
      <c r="Q19" s="216"/>
      <c r="R19" s="218"/>
      <c r="S19" s="217">
        <f t="shared" si="5"/>
        <v>0</v>
      </c>
      <c r="T19" s="216"/>
      <c r="U19" s="218"/>
      <c r="V19" s="217">
        <f t="shared" si="6"/>
        <v>0</v>
      </c>
      <c r="W19" s="216"/>
      <c r="X19" s="218"/>
      <c r="Y19" s="217">
        <f t="shared" si="7"/>
        <v>0</v>
      </c>
    </row>
    <row r="20" spans="1:25" s="58" customFormat="1" ht="15" customHeight="1">
      <c r="A20" s="178" t="s">
        <v>68</v>
      </c>
      <c r="B20" s="216">
        <v>4684.62</v>
      </c>
      <c r="C20" s="218">
        <v>1085.93</v>
      </c>
      <c r="D20" s="217">
        <f t="shared" si="0"/>
        <v>4684.62</v>
      </c>
      <c r="E20" s="216">
        <v>4353.05</v>
      </c>
      <c r="F20" s="218">
        <v>-331.57</v>
      </c>
      <c r="G20" s="217">
        <f t="shared" si="1"/>
        <v>8706.1</v>
      </c>
      <c r="H20" s="216">
        <v>1500.21</v>
      </c>
      <c r="I20" s="218">
        <v>-2852.84</v>
      </c>
      <c r="J20" s="217">
        <f t="shared" si="2"/>
        <v>4500.63</v>
      </c>
      <c r="K20" s="216">
        <v>8452.73</v>
      </c>
      <c r="L20" s="218">
        <v>6952.52</v>
      </c>
      <c r="M20" s="217">
        <f t="shared" si="3"/>
        <v>33810.92</v>
      </c>
      <c r="N20" s="216">
        <v>4888.0200000000004</v>
      </c>
      <c r="O20" s="218">
        <v>-3564.71</v>
      </c>
      <c r="P20" s="217">
        <f t="shared" si="4"/>
        <v>24440.100000000002</v>
      </c>
      <c r="Q20" s="216">
        <v>5922.89</v>
      </c>
      <c r="R20" s="218">
        <v>1034.8699999999999</v>
      </c>
      <c r="S20" s="217">
        <f t="shared" si="5"/>
        <v>35537.340000000004</v>
      </c>
      <c r="T20" s="216">
        <v>3839.75</v>
      </c>
      <c r="U20" s="218">
        <v>-2083.14</v>
      </c>
      <c r="V20" s="217">
        <f t="shared" si="6"/>
        <v>26878.25</v>
      </c>
      <c r="W20" s="216">
        <v>3447.14</v>
      </c>
      <c r="X20" s="218">
        <v>-392.61</v>
      </c>
      <c r="Y20" s="217">
        <f t="shared" si="7"/>
        <v>27577.119999999999</v>
      </c>
    </row>
    <row r="21" spans="1:25" s="58" customFormat="1" ht="15" customHeight="1">
      <c r="A21" s="178" t="s">
        <v>69</v>
      </c>
      <c r="B21" s="216">
        <v>513.24</v>
      </c>
      <c r="C21" s="218">
        <v>0</v>
      </c>
      <c r="D21" s="217">
        <f t="shared" si="0"/>
        <v>513.24</v>
      </c>
      <c r="E21" s="216">
        <v>513.24</v>
      </c>
      <c r="F21" s="218">
        <v>0</v>
      </c>
      <c r="G21" s="217">
        <f t="shared" si="1"/>
        <v>1026.48</v>
      </c>
      <c r="H21" s="216">
        <v>513.24</v>
      </c>
      <c r="I21" s="218">
        <v>0</v>
      </c>
      <c r="J21" s="217">
        <f t="shared" si="2"/>
        <v>1539.72</v>
      </c>
      <c r="K21" s="216">
        <v>513.24</v>
      </c>
      <c r="L21" s="218">
        <v>0</v>
      </c>
      <c r="M21" s="217">
        <f t="shared" si="3"/>
        <v>2052.96</v>
      </c>
      <c r="N21" s="216">
        <v>513.24</v>
      </c>
      <c r="O21" s="218">
        <v>0</v>
      </c>
      <c r="P21" s="217">
        <f t="shared" si="4"/>
        <v>2566.1999999999998</v>
      </c>
      <c r="Q21" s="216">
        <v>513.24</v>
      </c>
      <c r="R21" s="218">
        <v>0</v>
      </c>
      <c r="S21" s="217">
        <f t="shared" si="5"/>
        <v>3079.44</v>
      </c>
      <c r="T21" s="216">
        <v>513.24</v>
      </c>
      <c r="U21" s="218">
        <v>0</v>
      </c>
      <c r="V21" s="217">
        <f t="shared" si="6"/>
        <v>3592.6800000000003</v>
      </c>
      <c r="W21" s="216">
        <v>513.24</v>
      </c>
      <c r="X21" s="218">
        <v>0</v>
      </c>
      <c r="Y21" s="217">
        <f t="shared" si="7"/>
        <v>4105.92</v>
      </c>
    </row>
    <row r="22" spans="1:25" s="58" customFormat="1" ht="15" customHeight="1">
      <c r="A22" s="178" t="s">
        <v>70</v>
      </c>
      <c r="B22" s="216">
        <v>5649.75</v>
      </c>
      <c r="C22" s="218">
        <v>0</v>
      </c>
      <c r="D22" s="217">
        <f t="shared" si="0"/>
        <v>5649.75</v>
      </c>
      <c r="E22" s="216">
        <v>5649.75</v>
      </c>
      <c r="F22" s="218">
        <v>0</v>
      </c>
      <c r="G22" s="217">
        <f t="shared" si="1"/>
        <v>11299.5</v>
      </c>
      <c r="H22" s="216">
        <v>5649.75</v>
      </c>
      <c r="I22" s="218">
        <v>0</v>
      </c>
      <c r="J22" s="217">
        <f t="shared" si="2"/>
        <v>16949.25</v>
      </c>
      <c r="K22" s="216">
        <v>5649.75</v>
      </c>
      <c r="L22" s="218">
        <v>0</v>
      </c>
      <c r="M22" s="217">
        <f t="shared" si="3"/>
        <v>22599</v>
      </c>
      <c r="N22" s="216">
        <v>5649.75</v>
      </c>
      <c r="O22" s="218">
        <v>0</v>
      </c>
      <c r="P22" s="217">
        <f t="shared" si="4"/>
        <v>28248.75</v>
      </c>
      <c r="Q22" s="216">
        <v>5649.75</v>
      </c>
      <c r="R22" s="218">
        <v>0</v>
      </c>
      <c r="S22" s="217">
        <f t="shared" si="5"/>
        <v>33898.5</v>
      </c>
      <c r="T22" s="216">
        <v>5649.75</v>
      </c>
      <c r="U22" s="218">
        <v>0</v>
      </c>
      <c r="V22" s="217">
        <f t="shared" si="6"/>
        <v>39548.25</v>
      </c>
      <c r="W22" s="216">
        <v>5649.75</v>
      </c>
      <c r="X22" s="218">
        <v>0</v>
      </c>
      <c r="Y22" s="217">
        <f t="shared" si="7"/>
        <v>45198</v>
      </c>
    </row>
    <row r="23" spans="1:25" s="58" customFormat="1" ht="15" customHeight="1">
      <c r="A23" s="178" t="s">
        <v>71</v>
      </c>
      <c r="B23" s="219">
        <v>273.43</v>
      </c>
      <c r="C23" s="221">
        <v>0</v>
      </c>
      <c r="D23" s="220">
        <f t="shared" si="0"/>
        <v>273.43</v>
      </c>
      <c r="E23" s="219">
        <v>0</v>
      </c>
      <c r="F23" s="221">
        <v>-273.43</v>
      </c>
      <c r="G23" s="220">
        <f t="shared" si="1"/>
        <v>0</v>
      </c>
      <c r="H23" s="219"/>
      <c r="I23" s="221"/>
      <c r="J23" s="220">
        <f t="shared" si="2"/>
        <v>0</v>
      </c>
      <c r="K23" s="219"/>
      <c r="L23" s="221"/>
      <c r="M23" s="220">
        <f t="shared" si="3"/>
        <v>0</v>
      </c>
      <c r="N23" s="219"/>
      <c r="O23" s="221"/>
      <c r="P23" s="220">
        <f t="shared" si="4"/>
        <v>0</v>
      </c>
      <c r="Q23" s="219"/>
      <c r="R23" s="221"/>
      <c r="S23" s="220">
        <f t="shared" si="5"/>
        <v>0</v>
      </c>
      <c r="T23" s="219">
        <v>19724.64</v>
      </c>
      <c r="U23" s="221">
        <v>19724.64</v>
      </c>
      <c r="V23" s="220">
        <f t="shared" si="6"/>
        <v>138072.47999999998</v>
      </c>
      <c r="W23" s="219">
        <v>19724.64</v>
      </c>
      <c r="X23" s="221">
        <v>0</v>
      </c>
      <c r="Y23" s="220">
        <f t="shared" si="7"/>
        <v>157797.12</v>
      </c>
    </row>
    <row r="24" spans="1:25" s="58" customFormat="1" ht="15" customHeight="1">
      <c r="A24" s="178" t="s">
        <v>67</v>
      </c>
      <c r="B24" s="222">
        <v>11121.04</v>
      </c>
      <c r="C24" s="224">
        <v>1085.93</v>
      </c>
      <c r="D24" s="223">
        <f t="shared" si="0"/>
        <v>11121.04</v>
      </c>
      <c r="E24" s="222">
        <v>10516.04</v>
      </c>
      <c r="F24" s="224">
        <v>-605</v>
      </c>
      <c r="G24" s="223">
        <f t="shared" si="1"/>
        <v>21032.080000000002</v>
      </c>
      <c r="H24" s="222">
        <v>7663.2</v>
      </c>
      <c r="I24" s="224">
        <v>-2852.84</v>
      </c>
      <c r="J24" s="223">
        <f t="shared" si="2"/>
        <v>22989.599999999999</v>
      </c>
      <c r="K24" s="222">
        <v>14615.72</v>
      </c>
      <c r="L24" s="224">
        <v>6952.52</v>
      </c>
      <c r="M24" s="223">
        <f t="shared" si="3"/>
        <v>58462.879999999997</v>
      </c>
      <c r="N24" s="222">
        <v>11051.01</v>
      </c>
      <c r="O24" s="224">
        <v>-3564.71</v>
      </c>
      <c r="P24" s="223">
        <f t="shared" si="4"/>
        <v>55255.05</v>
      </c>
      <c r="Q24" s="222">
        <v>12085.88</v>
      </c>
      <c r="R24" s="224">
        <v>1034.8699999999999</v>
      </c>
      <c r="S24" s="223">
        <f t="shared" si="5"/>
        <v>72515.28</v>
      </c>
      <c r="T24" s="222">
        <v>29727.38</v>
      </c>
      <c r="U24" s="224">
        <v>17641.5</v>
      </c>
      <c r="V24" s="223">
        <f t="shared" si="6"/>
        <v>208091.66</v>
      </c>
      <c r="W24" s="222">
        <v>29334.77</v>
      </c>
      <c r="X24" s="224">
        <v>-392.61</v>
      </c>
      <c r="Y24" s="223">
        <f t="shared" si="7"/>
        <v>234678.16</v>
      </c>
    </row>
    <row r="25" spans="1:25" ht="15" customHeight="1">
      <c r="A25" s="182"/>
      <c r="B25" s="225"/>
      <c r="C25" s="227"/>
      <c r="D25" s="226">
        <f t="shared" si="0"/>
        <v>0</v>
      </c>
      <c r="E25" s="225"/>
      <c r="F25" s="227"/>
      <c r="G25" s="226">
        <f t="shared" si="1"/>
        <v>0</v>
      </c>
      <c r="H25" s="225"/>
      <c r="I25" s="227"/>
      <c r="J25" s="226">
        <f t="shared" si="2"/>
        <v>0</v>
      </c>
      <c r="K25" s="225"/>
      <c r="L25" s="227"/>
      <c r="M25" s="226">
        <f t="shared" si="3"/>
        <v>0</v>
      </c>
      <c r="N25" s="225"/>
      <c r="O25" s="227"/>
      <c r="P25" s="226">
        <f t="shared" si="4"/>
        <v>0</v>
      </c>
      <c r="Q25" s="225"/>
      <c r="R25" s="227"/>
      <c r="S25" s="226">
        <f t="shared" si="5"/>
        <v>0</v>
      </c>
      <c r="T25" s="225"/>
      <c r="U25" s="227"/>
      <c r="V25" s="226">
        <f t="shared" si="6"/>
        <v>0</v>
      </c>
      <c r="W25" s="225"/>
      <c r="X25" s="227"/>
      <c r="Y25" s="226">
        <f t="shared" si="7"/>
        <v>0</v>
      </c>
    </row>
    <row r="26" spans="1:25" s="58" customFormat="1" ht="15" customHeight="1">
      <c r="A26" s="178" t="s">
        <v>72</v>
      </c>
      <c r="B26" s="216"/>
      <c r="C26" s="218"/>
      <c r="D26" s="217">
        <f t="shared" si="0"/>
        <v>0</v>
      </c>
      <c r="E26" s="216"/>
      <c r="F26" s="218"/>
      <c r="G26" s="217">
        <f t="shared" si="1"/>
        <v>0</v>
      </c>
      <c r="H26" s="216"/>
      <c r="I26" s="218"/>
      <c r="J26" s="217">
        <f t="shared" si="2"/>
        <v>0</v>
      </c>
      <c r="K26" s="216"/>
      <c r="L26" s="218"/>
      <c r="M26" s="217">
        <f t="shared" si="3"/>
        <v>0</v>
      </c>
      <c r="N26" s="216"/>
      <c r="O26" s="218"/>
      <c r="P26" s="217">
        <f t="shared" si="4"/>
        <v>0</v>
      </c>
      <c r="Q26" s="216"/>
      <c r="R26" s="218"/>
      <c r="S26" s="217">
        <f t="shared" si="5"/>
        <v>0</v>
      </c>
      <c r="T26" s="216"/>
      <c r="U26" s="218"/>
      <c r="V26" s="217">
        <f t="shared" si="6"/>
        <v>0</v>
      </c>
      <c r="W26" s="216"/>
      <c r="X26" s="218"/>
      <c r="Y26" s="217">
        <f t="shared" si="7"/>
        <v>0</v>
      </c>
    </row>
    <row r="27" spans="1:25" s="58" customFormat="1" ht="15" customHeight="1">
      <c r="A27" s="178" t="s">
        <v>73</v>
      </c>
      <c r="B27" s="216">
        <v>7538.45</v>
      </c>
      <c r="C27" s="218">
        <v>-1884.48</v>
      </c>
      <c r="D27" s="217">
        <f t="shared" si="0"/>
        <v>7538.45</v>
      </c>
      <c r="E27" s="216">
        <v>5653.81</v>
      </c>
      <c r="F27" s="218">
        <v>-1884.64</v>
      </c>
      <c r="G27" s="217">
        <f t="shared" si="1"/>
        <v>11307.62</v>
      </c>
      <c r="H27" s="216">
        <v>3769.17</v>
      </c>
      <c r="I27" s="218">
        <v>-1884.64</v>
      </c>
      <c r="J27" s="217">
        <f t="shared" si="2"/>
        <v>11307.51</v>
      </c>
      <c r="K27" s="216">
        <v>1884.53</v>
      </c>
      <c r="L27" s="218">
        <v>-1884.64</v>
      </c>
      <c r="M27" s="217">
        <f t="shared" si="3"/>
        <v>7538.12</v>
      </c>
      <c r="N27" s="216">
        <v>0</v>
      </c>
      <c r="O27" s="218">
        <v>-1884.53</v>
      </c>
      <c r="P27" s="217">
        <f t="shared" si="4"/>
        <v>0</v>
      </c>
      <c r="Q27" s="216">
        <v>18156.11</v>
      </c>
      <c r="R27" s="218">
        <v>18156.11</v>
      </c>
      <c r="S27" s="217">
        <f t="shared" si="5"/>
        <v>108936.66</v>
      </c>
      <c r="T27" s="216">
        <v>16505.560000000001</v>
      </c>
      <c r="U27" s="218">
        <v>-1650.55</v>
      </c>
      <c r="V27" s="217">
        <f t="shared" si="6"/>
        <v>115538.92000000001</v>
      </c>
      <c r="W27" s="216">
        <v>14855.01</v>
      </c>
      <c r="X27" s="218">
        <v>-1650.55</v>
      </c>
      <c r="Y27" s="217">
        <f t="shared" si="7"/>
        <v>118840.08</v>
      </c>
    </row>
    <row r="28" spans="1:25" s="58" customFormat="1" ht="15" customHeight="1">
      <c r="A28" s="178"/>
      <c r="B28" s="216"/>
      <c r="C28" s="218"/>
      <c r="D28" s="217">
        <f t="shared" si="0"/>
        <v>0</v>
      </c>
      <c r="E28" s="216"/>
      <c r="F28" s="218"/>
      <c r="G28" s="217">
        <f t="shared" si="1"/>
        <v>0</v>
      </c>
      <c r="H28" s="216"/>
      <c r="I28" s="218"/>
      <c r="J28" s="217">
        <f t="shared" si="2"/>
        <v>0</v>
      </c>
      <c r="K28" s="216">
        <v>38865.269999999997</v>
      </c>
      <c r="L28" s="218">
        <v>38865.269999999997</v>
      </c>
      <c r="M28" s="217">
        <f t="shared" si="3"/>
        <v>155461.07999999999</v>
      </c>
      <c r="N28" s="216">
        <v>19432.63</v>
      </c>
      <c r="O28" s="218">
        <v>-19432.64</v>
      </c>
      <c r="P28" s="217">
        <f t="shared" si="4"/>
        <v>97163.150000000009</v>
      </c>
      <c r="Q28" s="216">
        <v>0</v>
      </c>
      <c r="R28" s="218">
        <v>-19432.63</v>
      </c>
      <c r="S28" s="217">
        <f t="shared" si="5"/>
        <v>0</v>
      </c>
      <c r="T28" s="216"/>
      <c r="U28" s="218"/>
      <c r="V28" s="217">
        <f t="shared" si="6"/>
        <v>0</v>
      </c>
      <c r="W28" s="216"/>
      <c r="X28" s="218"/>
      <c r="Y28" s="217">
        <f t="shared" si="7"/>
        <v>0</v>
      </c>
    </row>
    <row r="29" spans="1:25" s="58" customFormat="1" ht="15" customHeight="1">
      <c r="A29" s="178" t="s">
        <v>74</v>
      </c>
      <c r="B29" s="219">
        <v>9282.7099999999991</v>
      </c>
      <c r="C29" s="221">
        <v>7586.55</v>
      </c>
      <c r="D29" s="220">
        <f t="shared" si="0"/>
        <v>9282.7099999999991</v>
      </c>
      <c r="E29" s="219">
        <v>8500.6200000000008</v>
      </c>
      <c r="F29" s="221">
        <v>-782.09</v>
      </c>
      <c r="G29" s="220">
        <f t="shared" si="1"/>
        <v>17001.240000000002</v>
      </c>
      <c r="H29" s="219">
        <v>7538.53</v>
      </c>
      <c r="I29" s="221">
        <v>-962.09</v>
      </c>
      <c r="J29" s="220">
        <f t="shared" si="2"/>
        <v>22615.59</v>
      </c>
      <c r="K29" s="219">
        <v>6852.74</v>
      </c>
      <c r="L29" s="221">
        <v>-685.79</v>
      </c>
      <c r="M29" s="220">
        <f t="shared" si="3"/>
        <v>27410.959999999999</v>
      </c>
      <c r="N29" s="219">
        <v>5887.5</v>
      </c>
      <c r="O29" s="221">
        <v>-965.24</v>
      </c>
      <c r="P29" s="220">
        <f t="shared" si="4"/>
        <v>29437.5</v>
      </c>
      <c r="Q29" s="219">
        <v>6463.79</v>
      </c>
      <c r="R29" s="221">
        <v>576.29</v>
      </c>
      <c r="S29" s="220">
        <f t="shared" si="5"/>
        <v>38782.74</v>
      </c>
      <c r="T29" s="219">
        <v>4219.08</v>
      </c>
      <c r="U29" s="221">
        <v>-2244.71</v>
      </c>
      <c r="V29" s="220">
        <f t="shared" si="6"/>
        <v>29533.559999999998</v>
      </c>
      <c r="W29" s="219">
        <v>5179.8</v>
      </c>
      <c r="X29" s="221">
        <v>960.72</v>
      </c>
      <c r="Y29" s="220">
        <f t="shared" si="7"/>
        <v>41438.400000000001</v>
      </c>
    </row>
    <row r="30" spans="1:25" s="58" customFormat="1" ht="15" customHeight="1">
      <c r="A30" s="178" t="s">
        <v>72</v>
      </c>
      <c r="B30" s="228">
        <v>16821.16</v>
      </c>
      <c r="C30" s="230">
        <v>5702.07</v>
      </c>
      <c r="D30" s="229">
        <f t="shared" si="0"/>
        <v>16821.16</v>
      </c>
      <c r="E30" s="228">
        <v>14154.43</v>
      </c>
      <c r="F30" s="230">
        <v>-2666.73</v>
      </c>
      <c r="G30" s="229">
        <f t="shared" si="1"/>
        <v>28308.86</v>
      </c>
      <c r="H30" s="228">
        <v>11307.7</v>
      </c>
      <c r="I30" s="230">
        <v>-2846.73</v>
      </c>
      <c r="J30" s="229">
        <f t="shared" si="2"/>
        <v>33923.100000000006</v>
      </c>
      <c r="K30" s="228">
        <v>47602.54</v>
      </c>
      <c r="L30" s="230">
        <v>36294.839999999997</v>
      </c>
      <c r="M30" s="229">
        <f t="shared" si="3"/>
        <v>190410.16</v>
      </c>
      <c r="N30" s="228">
        <v>25320.13</v>
      </c>
      <c r="O30" s="230">
        <v>-22282.41</v>
      </c>
      <c r="P30" s="229">
        <f t="shared" si="4"/>
        <v>126600.65000000001</v>
      </c>
      <c r="Q30" s="228">
        <v>24619.9</v>
      </c>
      <c r="R30" s="230">
        <v>-700.23</v>
      </c>
      <c r="S30" s="229">
        <f t="shared" si="5"/>
        <v>147719.40000000002</v>
      </c>
      <c r="T30" s="228">
        <v>20724.64</v>
      </c>
      <c r="U30" s="230">
        <v>-3895.26</v>
      </c>
      <c r="V30" s="229">
        <f t="shared" si="6"/>
        <v>145072.47999999998</v>
      </c>
      <c r="W30" s="228">
        <v>20034.810000000001</v>
      </c>
      <c r="X30" s="230">
        <v>-689.83</v>
      </c>
      <c r="Y30" s="229">
        <f t="shared" si="7"/>
        <v>160278.48000000001</v>
      </c>
    </row>
    <row r="31" spans="1:25" ht="15" customHeight="1">
      <c r="A31" s="178" t="s">
        <v>75</v>
      </c>
      <c r="B31" s="222">
        <v>403313.03</v>
      </c>
      <c r="C31" s="224">
        <v>85747.02</v>
      </c>
      <c r="D31" s="223">
        <f t="shared" si="0"/>
        <v>403313.03</v>
      </c>
      <c r="E31" s="222">
        <v>400597.54</v>
      </c>
      <c r="F31" s="224">
        <v>-2715.49</v>
      </c>
      <c r="G31" s="223">
        <f t="shared" si="1"/>
        <v>801195.08</v>
      </c>
      <c r="H31" s="222">
        <v>410314.54</v>
      </c>
      <c r="I31" s="224">
        <v>9717</v>
      </c>
      <c r="J31" s="223">
        <f t="shared" si="2"/>
        <v>1230943.6199999999</v>
      </c>
      <c r="K31" s="222">
        <v>406240.45</v>
      </c>
      <c r="L31" s="224">
        <v>-4074.09</v>
      </c>
      <c r="M31" s="223">
        <f t="shared" si="3"/>
        <v>1624961.8</v>
      </c>
      <c r="N31" s="222">
        <v>404555.88</v>
      </c>
      <c r="O31" s="224">
        <v>-1684.57</v>
      </c>
      <c r="P31" s="223">
        <f t="shared" si="4"/>
        <v>2022779.4</v>
      </c>
      <c r="Q31" s="222">
        <v>414069.63</v>
      </c>
      <c r="R31" s="224">
        <v>9513.75</v>
      </c>
      <c r="S31" s="223">
        <f t="shared" si="5"/>
        <v>2484417.7800000003</v>
      </c>
      <c r="T31" s="222">
        <v>454857.31</v>
      </c>
      <c r="U31" s="224">
        <v>40787.68</v>
      </c>
      <c r="V31" s="223">
        <f t="shared" si="6"/>
        <v>3184001.17</v>
      </c>
      <c r="W31" s="222">
        <v>423268.77</v>
      </c>
      <c r="X31" s="224">
        <v>-31588.54</v>
      </c>
      <c r="Y31" s="223">
        <f t="shared" si="7"/>
        <v>3386150.16</v>
      </c>
    </row>
    <row r="32" spans="1:25" s="58" customFormat="1" ht="15" customHeight="1">
      <c r="A32" s="182"/>
      <c r="B32" s="225"/>
      <c r="C32" s="227"/>
      <c r="D32" s="226">
        <f t="shared" si="0"/>
        <v>0</v>
      </c>
      <c r="E32" s="225"/>
      <c r="F32" s="227"/>
      <c r="G32" s="226">
        <f t="shared" si="1"/>
        <v>0</v>
      </c>
      <c r="H32" s="225"/>
      <c r="I32" s="227"/>
      <c r="J32" s="226">
        <f t="shared" si="2"/>
        <v>0</v>
      </c>
      <c r="K32" s="225"/>
      <c r="L32" s="227"/>
      <c r="M32" s="226">
        <f t="shared" si="3"/>
        <v>0</v>
      </c>
      <c r="N32" s="225"/>
      <c r="O32" s="227"/>
      <c r="P32" s="226">
        <f t="shared" si="4"/>
        <v>0</v>
      </c>
      <c r="Q32" s="225"/>
      <c r="R32" s="227"/>
      <c r="S32" s="226">
        <f t="shared" si="5"/>
        <v>0</v>
      </c>
      <c r="T32" s="225"/>
      <c r="U32" s="227"/>
      <c r="V32" s="226">
        <f t="shared" si="6"/>
        <v>0</v>
      </c>
      <c r="W32" s="225"/>
      <c r="X32" s="227"/>
      <c r="Y32" s="226">
        <f t="shared" si="7"/>
        <v>0</v>
      </c>
    </row>
    <row r="33" spans="1:25" ht="15" customHeight="1">
      <c r="A33" s="178" t="s">
        <v>76</v>
      </c>
      <c r="B33" s="216"/>
      <c r="C33" s="218"/>
      <c r="D33" s="217">
        <f t="shared" si="0"/>
        <v>0</v>
      </c>
      <c r="E33" s="216"/>
      <c r="F33" s="218"/>
      <c r="G33" s="217">
        <f t="shared" si="1"/>
        <v>0</v>
      </c>
      <c r="H33" s="216"/>
      <c r="I33" s="218"/>
      <c r="J33" s="217">
        <f t="shared" si="2"/>
        <v>0</v>
      </c>
      <c r="K33" s="216"/>
      <c r="L33" s="218"/>
      <c r="M33" s="217">
        <f t="shared" si="3"/>
        <v>0</v>
      </c>
      <c r="N33" s="216"/>
      <c r="O33" s="218"/>
      <c r="P33" s="217">
        <f t="shared" si="4"/>
        <v>0</v>
      </c>
      <c r="Q33" s="216"/>
      <c r="R33" s="218"/>
      <c r="S33" s="217">
        <f t="shared" si="5"/>
        <v>0</v>
      </c>
      <c r="T33" s="216"/>
      <c r="U33" s="218"/>
      <c r="V33" s="217">
        <f t="shared" si="6"/>
        <v>0</v>
      </c>
      <c r="W33" s="216"/>
      <c r="X33" s="218"/>
      <c r="Y33" s="217">
        <f t="shared" si="7"/>
        <v>0</v>
      </c>
    </row>
    <row r="34" spans="1:25" s="58" customFormat="1" ht="15" customHeight="1">
      <c r="A34" s="182"/>
      <c r="B34" s="225"/>
      <c r="C34" s="227"/>
      <c r="D34" s="226">
        <f t="shared" si="0"/>
        <v>0</v>
      </c>
      <c r="E34" s="225"/>
      <c r="F34" s="227"/>
      <c r="G34" s="226">
        <f t="shared" si="1"/>
        <v>0</v>
      </c>
      <c r="H34" s="225"/>
      <c r="I34" s="227"/>
      <c r="J34" s="226">
        <f t="shared" si="2"/>
        <v>0</v>
      </c>
      <c r="K34" s="225"/>
      <c r="L34" s="227"/>
      <c r="M34" s="226">
        <f t="shared" si="3"/>
        <v>0</v>
      </c>
      <c r="N34" s="225"/>
      <c r="O34" s="227"/>
      <c r="P34" s="226">
        <f t="shared" si="4"/>
        <v>0</v>
      </c>
      <c r="Q34" s="225"/>
      <c r="R34" s="227"/>
      <c r="S34" s="226">
        <f t="shared" si="5"/>
        <v>0</v>
      </c>
      <c r="T34" s="225"/>
      <c r="U34" s="227"/>
      <c r="V34" s="226">
        <f t="shared" si="6"/>
        <v>0</v>
      </c>
      <c r="W34" s="225"/>
      <c r="X34" s="227"/>
      <c r="Y34" s="226">
        <f t="shared" si="7"/>
        <v>0</v>
      </c>
    </row>
    <row r="35" spans="1:25" s="58" customFormat="1" ht="15" customHeight="1">
      <c r="A35" s="178" t="s">
        <v>77</v>
      </c>
      <c r="B35" s="216"/>
      <c r="C35" s="218"/>
      <c r="D35" s="217">
        <f t="shared" si="0"/>
        <v>0</v>
      </c>
      <c r="E35" s="216"/>
      <c r="F35" s="218"/>
      <c r="G35" s="217">
        <f t="shared" si="1"/>
        <v>0</v>
      </c>
      <c r="H35" s="216"/>
      <c r="I35" s="218"/>
      <c r="J35" s="217">
        <f t="shared" si="2"/>
        <v>0</v>
      </c>
      <c r="K35" s="216"/>
      <c r="L35" s="218"/>
      <c r="M35" s="217">
        <f t="shared" si="3"/>
        <v>0</v>
      </c>
      <c r="N35" s="216"/>
      <c r="O35" s="218"/>
      <c r="P35" s="217">
        <f t="shared" si="4"/>
        <v>0</v>
      </c>
      <c r="Q35" s="216"/>
      <c r="R35" s="218"/>
      <c r="S35" s="217">
        <f t="shared" si="5"/>
        <v>0</v>
      </c>
      <c r="T35" s="216"/>
      <c r="U35" s="218"/>
      <c r="V35" s="217">
        <f t="shared" si="6"/>
        <v>0</v>
      </c>
      <c r="W35" s="216"/>
      <c r="X35" s="218"/>
      <c r="Y35" s="217">
        <f t="shared" si="7"/>
        <v>0</v>
      </c>
    </row>
    <row r="36" spans="1:25" s="58" customFormat="1" ht="15" customHeight="1">
      <c r="A36" s="178" t="s">
        <v>78</v>
      </c>
      <c r="B36" s="216">
        <v>4236.8</v>
      </c>
      <c r="C36" s="218">
        <v>0</v>
      </c>
      <c r="D36" s="217">
        <f t="shared" si="0"/>
        <v>4236.8</v>
      </c>
      <c r="E36" s="216">
        <v>4236.8</v>
      </c>
      <c r="F36" s="218">
        <v>0</v>
      </c>
      <c r="G36" s="217">
        <f t="shared" si="1"/>
        <v>8473.6</v>
      </c>
      <c r="H36" s="216">
        <v>4236.8</v>
      </c>
      <c r="I36" s="218">
        <v>0</v>
      </c>
      <c r="J36" s="217">
        <f t="shared" si="2"/>
        <v>12710.400000000001</v>
      </c>
      <c r="K36" s="216">
        <v>4236.8</v>
      </c>
      <c r="L36" s="218">
        <v>0</v>
      </c>
      <c r="M36" s="217">
        <f t="shared" si="3"/>
        <v>16947.2</v>
      </c>
      <c r="N36" s="216">
        <v>4236.8</v>
      </c>
      <c r="O36" s="218">
        <v>0</v>
      </c>
      <c r="P36" s="217">
        <f t="shared" si="4"/>
        <v>21184</v>
      </c>
      <c r="Q36" s="216">
        <v>4236.8</v>
      </c>
      <c r="R36" s="218">
        <v>0</v>
      </c>
      <c r="S36" s="217">
        <f t="shared" si="5"/>
        <v>25420.800000000003</v>
      </c>
      <c r="T36" s="216">
        <v>4236.8</v>
      </c>
      <c r="U36" s="218">
        <v>0</v>
      </c>
      <c r="V36" s="217">
        <f t="shared" si="6"/>
        <v>29657.600000000002</v>
      </c>
      <c r="W36" s="216">
        <v>4236.8</v>
      </c>
      <c r="X36" s="218">
        <v>0</v>
      </c>
      <c r="Y36" s="217">
        <f t="shared" si="7"/>
        <v>33894.400000000001</v>
      </c>
    </row>
    <row r="37" spans="1:25" s="58" customFormat="1" ht="15" customHeight="1">
      <c r="A37" s="178" t="s">
        <v>79</v>
      </c>
      <c r="B37" s="219">
        <v>-1000</v>
      </c>
      <c r="C37" s="221">
        <v>0</v>
      </c>
      <c r="D37" s="220">
        <f t="shared" si="0"/>
        <v>-1000</v>
      </c>
      <c r="E37" s="219">
        <v>-1000</v>
      </c>
      <c r="F37" s="221">
        <v>0</v>
      </c>
      <c r="G37" s="220">
        <f t="shared" si="1"/>
        <v>-2000</v>
      </c>
      <c r="H37" s="219">
        <v>2670</v>
      </c>
      <c r="I37" s="221">
        <v>3670</v>
      </c>
      <c r="J37" s="220">
        <f t="shared" si="2"/>
        <v>8010</v>
      </c>
      <c r="K37" s="219">
        <v>-1000</v>
      </c>
      <c r="L37" s="221">
        <v>-3670</v>
      </c>
      <c r="M37" s="220">
        <f t="shared" si="3"/>
        <v>-4000</v>
      </c>
      <c r="N37" s="219">
        <v>-1000</v>
      </c>
      <c r="O37" s="221">
        <v>0</v>
      </c>
      <c r="P37" s="220">
        <f t="shared" si="4"/>
        <v>-5000</v>
      </c>
      <c r="Q37" s="219">
        <v>-1000</v>
      </c>
      <c r="R37" s="221">
        <v>0</v>
      </c>
      <c r="S37" s="220">
        <f t="shared" si="5"/>
        <v>-6000</v>
      </c>
      <c r="T37" s="219">
        <v>-1000</v>
      </c>
      <c r="U37" s="221">
        <v>0</v>
      </c>
      <c r="V37" s="220">
        <f t="shared" si="6"/>
        <v>-7000</v>
      </c>
      <c r="W37" s="219">
        <v>-1000</v>
      </c>
      <c r="X37" s="221">
        <v>0</v>
      </c>
      <c r="Y37" s="220">
        <f t="shared" si="7"/>
        <v>-8000</v>
      </c>
    </row>
    <row r="38" spans="1:25" s="58" customFormat="1" ht="15" customHeight="1">
      <c r="A38" s="178" t="s">
        <v>77</v>
      </c>
      <c r="B38" s="228">
        <v>3236.8</v>
      </c>
      <c r="C38" s="230">
        <v>0</v>
      </c>
      <c r="D38" s="229">
        <f t="shared" si="0"/>
        <v>3236.8</v>
      </c>
      <c r="E38" s="228">
        <v>3236.8</v>
      </c>
      <c r="F38" s="230">
        <v>0</v>
      </c>
      <c r="G38" s="229">
        <f t="shared" si="1"/>
        <v>6473.6</v>
      </c>
      <c r="H38" s="228">
        <v>6906.8</v>
      </c>
      <c r="I38" s="230">
        <v>3670</v>
      </c>
      <c r="J38" s="229">
        <f t="shared" si="2"/>
        <v>20720.400000000001</v>
      </c>
      <c r="K38" s="228">
        <v>3236.8</v>
      </c>
      <c r="L38" s="230">
        <v>-3670</v>
      </c>
      <c r="M38" s="229">
        <f t="shared" si="3"/>
        <v>12947.2</v>
      </c>
      <c r="N38" s="228">
        <v>3236.8</v>
      </c>
      <c r="O38" s="230">
        <v>0</v>
      </c>
      <c r="P38" s="229">
        <f t="shared" si="4"/>
        <v>16184</v>
      </c>
      <c r="Q38" s="228">
        <v>3236.8</v>
      </c>
      <c r="R38" s="230">
        <v>0</v>
      </c>
      <c r="S38" s="229">
        <f t="shared" si="5"/>
        <v>19420.800000000003</v>
      </c>
      <c r="T38" s="228">
        <v>3236.8</v>
      </c>
      <c r="U38" s="230">
        <v>0</v>
      </c>
      <c r="V38" s="229">
        <f t="shared" si="6"/>
        <v>22657.600000000002</v>
      </c>
      <c r="W38" s="228">
        <v>3236.8</v>
      </c>
      <c r="X38" s="230">
        <v>0</v>
      </c>
      <c r="Y38" s="229">
        <f t="shared" si="7"/>
        <v>25894.400000000001</v>
      </c>
    </row>
    <row r="39" spans="1:25" ht="15" customHeight="1">
      <c r="A39" s="178" t="s">
        <v>80</v>
      </c>
      <c r="B39" s="222">
        <v>3236.8</v>
      </c>
      <c r="C39" s="224">
        <v>0</v>
      </c>
      <c r="D39" s="223">
        <f t="shared" si="0"/>
        <v>3236.8</v>
      </c>
      <c r="E39" s="222">
        <v>3236.8</v>
      </c>
      <c r="F39" s="224">
        <v>0</v>
      </c>
      <c r="G39" s="223">
        <f t="shared" si="1"/>
        <v>6473.6</v>
      </c>
      <c r="H39" s="222">
        <v>6906.8</v>
      </c>
      <c r="I39" s="224">
        <v>3670</v>
      </c>
      <c r="J39" s="223">
        <f t="shared" si="2"/>
        <v>20720.400000000001</v>
      </c>
      <c r="K39" s="222">
        <v>3236.8</v>
      </c>
      <c r="L39" s="224">
        <v>-3670</v>
      </c>
      <c r="M39" s="223">
        <f t="shared" si="3"/>
        <v>12947.2</v>
      </c>
      <c r="N39" s="222">
        <v>3236.8</v>
      </c>
      <c r="O39" s="224">
        <v>0</v>
      </c>
      <c r="P39" s="223">
        <f t="shared" si="4"/>
        <v>16184</v>
      </c>
      <c r="Q39" s="222">
        <v>3236.8</v>
      </c>
      <c r="R39" s="224">
        <v>0</v>
      </c>
      <c r="S39" s="223">
        <f t="shared" si="5"/>
        <v>19420.800000000003</v>
      </c>
      <c r="T39" s="222">
        <v>3236.8</v>
      </c>
      <c r="U39" s="224">
        <v>0</v>
      </c>
      <c r="V39" s="223">
        <f t="shared" si="6"/>
        <v>22657.600000000002</v>
      </c>
      <c r="W39" s="222">
        <v>3236.8</v>
      </c>
      <c r="X39" s="224">
        <v>0</v>
      </c>
      <c r="Y39" s="223">
        <f t="shared" si="7"/>
        <v>25894.400000000001</v>
      </c>
    </row>
    <row r="40" spans="1:25" s="58" customFormat="1" ht="15" customHeight="1">
      <c r="A40" s="182"/>
      <c r="B40" s="225"/>
      <c r="C40" s="227"/>
      <c r="D40" s="226">
        <f t="shared" si="0"/>
        <v>0</v>
      </c>
      <c r="E40" s="225"/>
      <c r="F40" s="227"/>
      <c r="G40" s="226">
        <f t="shared" si="1"/>
        <v>0</v>
      </c>
      <c r="H40" s="225"/>
      <c r="I40" s="227"/>
      <c r="J40" s="226">
        <f t="shared" si="2"/>
        <v>0</v>
      </c>
      <c r="K40" s="225"/>
      <c r="L40" s="227"/>
      <c r="M40" s="226">
        <f t="shared" si="3"/>
        <v>0</v>
      </c>
      <c r="N40" s="225"/>
      <c r="O40" s="227"/>
      <c r="P40" s="226">
        <f t="shared" si="4"/>
        <v>0</v>
      </c>
      <c r="Q40" s="225"/>
      <c r="R40" s="227"/>
      <c r="S40" s="226">
        <f t="shared" si="5"/>
        <v>0</v>
      </c>
      <c r="T40" s="225"/>
      <c r="U40" s="227"/>
      <c r="V40" s="226">
        <f t="shared" si="6"/>
        <v>0</v>
      </c>
      <c r="W40" s="225"/>
      <c r="X40" s="227"/>
      <c r="Y40" s="226">
        <f t="shared" si="7"/>
        <v>0</v>
      </c>
    </row>
    <row r="41" spans="1:25" s="58" customFormat="1" ht="15" customHeight="1">
      <c r="A41" s="178" t="s">
        <v>81</v>
      </c>
      <c r="B41" s="216"/>
      <c r="C41" s="218"/>
      <c r="D41" s="217">
        <f t="shared" ref="D41:D72" si="8">+B41*$D$4</f>
        <v>0</v>
      </c>
      <c r="E41" s="216"/>
      <c r="F41" s="218"/>
      <c r="G41" s="217">
        <f t="shared" ref="G41:G72" si="9">+E41*$G$4</f>
        <v>0</v>
      </c>
      <c r="H41" s="216"/>
      <c r="I41" s="218"/>
      <c r="J41" s="217">
        <f t="shared" ref="J41:J72" si="10">+H41*$J$4</f>
        <v>0</v>
      </c>
      <c r="K41" s="216"/>
      <c r="L41" s="218"/>
      <c r="M41" s="217">
        <f t="shared" ref="M41:M72" si="11">+K41*$M$4</f>
        <v>0</v>
      </c>
      <c r="N41" s="216"/>
      <c r="O41" s="218"/>
      <c r="P41" s="217">
        <f t="shared" ref="P41:P72" si="12">+N41*$P$4</f>
        <v>0</v>
      </c>
      <c r="Q41" s="216"/>
      <c r="R41" s="218"/>
      <c r="S41" s="217">
        <f t="shared" ref="S41:S72" si="13">+Q41*$S$4</f>
        <v>0</v>
      </c>
      <c r="T41" s="216"/>
      <c r="U41" s="218"/>
      <c r="V41" s="217">
        <f t="shared" ref="V41:V72" si="14">+T41*$V$4</f>
        <v>0</v>
      </c>
      <c r="W41" s="216"/>
      <c r="X41" s="218"/>
      <c r="Y41" s="217">
        <f t="shared" ref="Y41:Y72" si="15">+W41*$Y$4</f>
        <v>0</v>
      </c>
    </row>
    <row r="42" spans="1:25" s="58" customFormat="1" ht="15" customHeight="1">
      <c r="A42" s="178" t="s">
        <v>82</v>
      </c>
      <c r="B42" s="216"/>
      <c r="C42" s="218"/>
      <c r="D42" s="217">
        <f t="shared" si="8"/>
        <v>0</v>
      </c>
      <c r="E42" s="216"/>
      <c r="F42" s="218"/>
      <c r="G42" s="217">
        <f t="shared" si="9"/>
        <v>0</v>
      </c>
      <c r="H42" s="216"/>
      <c r="I42" s="218"/>
      <c r="J42" s="217">
        <f t="shared" si="10"/>
        <v>0</v>
      </c>
      <c r="K42" s="216"/>
      <c r="L42" s="218"/>
      <c r="M42" s="217">
        <f t="shared" si="11"/>
        <v>0</v>
      </c>
      <c r="N42" s="216"/>
      <c r="O42" s="218"/>
      <c r="P42" s="217">
        <f t="shared" si="12"/>
        <v>0</v>
      </c>
      <c r="Q42" s="216"/>
      <c r="R42" s="218"/>
      <c r="S42" s="217">
        <f t="shared" si="13"/>
        <v>0</v>
      </c>
      <c r="T42" s="216"/>
      <c r="U42" s="218"/>
      <c r="V42" s="217">
        <f t="shared" si="14"/>
        <v>0</v>
      </c>
      <c r="W42" s="216"/>
      <c r="X42" s="218"/>
      <c r="Y42" s="217">
        <f t="shared" si="15"/>
        <v>0</v>
      </c>
    </row>
    <row r="43" spans="1:25" s="58" customFormat="1" ht="15" customHeight="1">
      <c r="A43" s="178" t="s">
        <v>83</v>
      </c>
      <c r="B43" s="219">
        <v>3544361</v>
      </c>
      <c r="C43" s="221">
        <v>0</v>
      </c>
      <c r="D43" s="220">
        <f t="shared" si="8"/>
        <v>3544361</v>
      </c>
      <c r="E43" s="219">
        <v>3544361</v>
      </c>
      <c r="F43" s="221">
        <v>0</v>
      </c>
      <c r="G43" s="220">
        <f t="shared" si="9"/>
        <v>7088722</v>
      </c>
      <c r="H43" s="219">
        <v>3544361</v>
      </c>
      <c r="I43" s="221">
        <v>0</v>
      </c>
      <c r="J43" s="220">
        <f t="shared" si="10"/>
        <v>10633083</v>
      </c>
      <c r="K43" s="219">
        <v>3544361</v>
      </c>
      <c r="L43" s="221">
        <v>0</v>
      </c>
      <c r="M43" s="220">
        <f t="shared" si="11"/>
        <v>14177444</v>
      </c>
      <c r="N43" s="219">
        <v>3544361</v>
      </c>
      <c r="O43" s="221">
        <v>0</v>
      </c>
      <c r="P43" s="220">
        <f t="shared" si="12"/>
        <v>17721805</v>
      </c>
      <c r="Q43" s="219">
        <v>3544361</v>
      </c>
      <c r="R43" s="221">
        <v>0</v>
      </c>
      <c r="S43" s="220">
        <f t="shared" si="13"/>
        <v>21266166</v>
      </c>
      <c r="T43" s="219">
        <v>3544361</v>
      </c>
      <c r="U43" s="221">
        <v>0</v>
      </c>
      <c r="V43" s="220">
        <f t="shared" si="14"/>
        <v>24810527</v>
      </c>
      <c r="W43" s="219">
        <v>3544361</v>
      </c>
      <c r="X43" s="221">
        <v>0</v>
      </c>
      <c r="Y43" s="220">
        <f t="shared" si="15"/>
        <v>28354888</v>
      </c>
    </row>
    <row r="44" spans="1:25" ht="15" customHeight="1">
      <c r="A44" s="178" t="s">
        <v>84</v>
      </c>
      <c r="B44" s="222">
        <v>3544361</v>
      </c>
      <c r="C44" s="224">
        <v>0</v>
      </c>
      <c r="D44" s="223">
        <f t="shared" si="8"/>
        <v>3544361</v>
      </c>
      <c r="E44" s="222">
        <v>3544361</v>
      </c>
      <c r="F44" s="224">
        <v>0</v>
      </c>
      <c r="G44" s="223">
        <f t="shared" si="9"/>
        <v>7088722</v>
      </c>
      <c r="H44" s="222">
        <v>3544361</v>
      </c>
      <c r="I44" s="224">
        <v>0</v>
      </c>
      <c r="J44" s="223">
        <f t="shared" si="10"/>
        <v>10633083</v>
      </c>
      <c r="K44" s="222">
        <v>3544361</v>
      </c>
      <c r="L44" s="224">
        <v>0</v>
      </c>
      <c r="M44" s="223">
        <f t="shared" si="11"/>
        <v>14177444</v>
      </c>
      <c r="N44" s="222">
        <v>3544361</v>
      </c>
      <c r="O44" s="224">
        <v>0</v>
      </c>
      <c r="P44" s="223">
        <f t="shared" si="12"/>
        <v>17721805</v>
      </c>
      <c r="Q44" s="222">
        <v>3544361</v>
      </c>
      <c r="R44" s="224">
        <v>0</v>
      </c>
      <c r="S44" s="223">
        <f t="shared" si="13"/>
        <v>21266166</v>
      </c>
      <c r="T44" s="222">
        <v>3544361</v>
      </c>
      <c r="U44" s="224">
        <v>0</v>
      </c>
      <c r="V44" s="223">
        <f t="shared" si="14"/>
        <v>24810527</v>
      </c>
      <c r="W44" s="222">
        <v>3544361</v>
      </c>
      <c r="X44" s="224">
        <v>0</v>
      </c>
      <c r="Y44" s="223">
        <f t="shared" si="15"/>
        <v>28354888</v>
      </c>
    </row>
    <row r="45" spans="1:25" s="58" customFormat="1" ht="15" customHeight="1">
      <c r="A45" s="182"/>
      <c r="B45" s="225"/>
      <c r="C45" s="227"/>
      <c r="D45" s="226">
        <f t="shared" si="8"/>
        <v>0</v>
      </c>
      <c r="E45" s="225"/>
      <c r="F45" s="227"/>
      <c r="G45" s="226">
        <f t="shared" si="9"/>
        <v>0</v>
      </c>
      <c r="H45" s="225"/>
      <c r="I45" s="227"/>
      <c r="J45" s="226">
        <f t="shared" si="10"/>
        <v>0</v>
      </c>
      <c r="K45" s="225"/>
      <c r="L45" s="227"/>
      <c r="M45" s="226">
        <f t="shared" si="11"/>
        <v>0</v>
      </c>
      <c r="N45" s="225"/>
      <c r="O45" s="227"/>
      <c r="P45" s="226">
        <f t="shared" si="12"/>
        <v>0</v>
      </c>
      <c r="Q45" s="225"/>
      <c r="R45" s="227"/>
      <c r="S45" s="226">
        <f t="shared" si="13"/>
        <v>0</v>
      </c>
      <c r="T45" s="225"/>
      <c r="U45" s="227"/>
      <c r="V45" s="226">
        <f t="shared" si="14"/>
        <v>0</v>
      </c>
      <c r="W45" s="225"/>
      <c r="X45" s="227"/>
      <c r="Y45" s="226">
        <f t="shared" si="15"/>
        <v>0</v>
      </c>
    </row>
    <row r="46" spans="1:25" s="58" customFormat="1" ht="15" customHeight="1">
      <c r="A46" s="178" t="s">
        <v>85</v>
      </c>
      <c r="B46" s="216"/>
      <c r="C46" s="218"/>
      <c r="D46" s="217">
        <f t="shared" si="8"/>
        <v>0</v>
      </c>
      <c r="E46" s="216"/>
      <c r="F46" s="218"/>
      <c r="G46" s="217">
        <f t="shared" si="9"/>
        <v>0</v>
      </c>
      <c r="H46" s="216"/>
      <c r="I46" s="218"/>
      <c r="J46" s="217">
        <f t="shared" si="10"/>
        <v>0</v>
      </c>
      <c r="K46" s="216"/>
      <c r="L46" s="218"/>
      <c r="M46" s="217">
        <f t="shared" si="11"/>
        <v>0</v>
      </c>
      <c r="N46" s="216"/>
      <c r="O46" s="218"/>
      <c r="P46" s="217">
        <f t="shared" si="12"/>
        <v>0</v>
      </c>
      <c r="Q46" s="216"/>
      <c r="R46" s="218"/>
      <c r="S46" s="217">
        <f t="shared" si="13"/>
        <v>0</v>
      </c>
      <c r="T46" s="216"/>
      <c r="U46" s="218"/>
      <c r="V46" s="217">
        <f t="shared" si="14"/>
        <v>0</v>
      </c>
      <c r="W46" s="216"/>
      <c r="X46" s="218"/>
      <c r="Y46" s="217">
        <f t="shared" si="15"/>
        <v>0</v>
      </c>
    </row>
    <row r="47" spans="1:25" s="58" customFormat="1" ht="15" customHeight="1">
      <c r="A47" s="178" t="s">
        <v>86</v>
      </c>
      <c r="B47" s="219">
        <v>13534747.65</v>
      </c>
      <c r="C47" s="221">
        <v>0</v>
      </c>
      <c r="D47" s="220">
        <f t="shared" si="8"/>
        <v>13534747.65</v>
      </c>
      <c r="E47" s="219">
        <v>13534747.65</v>
      </c>
      <c r="F47" s="221">
        <v>0</v>
      </c>
      <c r="G47" s="220">
        <f t="shared" si="9"/>
        <v>27069495.300000001</v>
      </c>
      <c r="H47" s="219">
        <v>13534747.65</v>
      </c>
      <c r="I47" s="221">
        <v>0</v>
      </c>
      <c r="J47" s="220">
        <f t="shared" si="10"/>
        <v>40604242.950000003</v>
      </c>
      <c r="K47" s="219">
        <v>13534747.65</v>
      </c>
      <c r="L47" s="221">
        <v>0</v>
      </c>
      <c r="M47" s="220">
        <f t="shared" si="11"/>
        <v>54138990.600000001</v>
      </c>
      <c r="N47" s="219">
        <v>13534747.65</v>
      </c>
      <c r="O47" s="221">
        <v>0</v>
      </c>
      <c r="P47" s="220">
        <f t="shared" si="12"/>
        <v>67673738.25</v>
      </c>
      <c r="Q47" s="219">
        <v>13534747.65</v>
      </c>
      <c r="R47" s="221">
        <v>0</v>
      </c>
      <c r="S47" s="220">
        <f t="shared" si="13"/>
        <v>81208485.900000006</v>
      </c>
      <c r="T47" s="219">
        <v>13534747.65</v>
      </c>
      <c r="U47" s="221">
        <v>0</v>
      </c>
      <c r="V47" s="220">
        <f t="shared" si="14"/>
        <v>94743233.549999997</v>
      </c>
      <c r="W47" s="219">
        <v>13534747.65</v>
      </c>
      <c r="X47" s="221">
        <v>0</v>
      </c>
      <c r="Y47" s="220">
        <f t="shared" si="15"/>
        <v>108277981.2</v>
      </c>
    </row>
    <row r="48" spans="1:25" ht="15" customHeight="1">
      <c r="A48" s="178" t="s">
        <v>85</v>
      </c>
      <c r="B48" s="222">
        <v>13534747.65</v>
      </c>
      <c r="C48" s="224">
        <v>0</v>
      </c>
      <c r="D48" s="223">
        <f t="shared" si="8"/>
        <v>13534747.65</v>
      </c>
      <c r="E48" s="222">
        <v>13534747.65</v>
      </c>
      <c r="F48" s="224">
        <v>0</v>
      </c>
      <c r="G48" s="223">
        <f t="shared" si="9"/>
        <v>27069495.300000001</v>
      </c>
      <c r="H48" s="222">
        <v>13534747.65</v>
      </c>
      <c r="I48" s="224">
        <v>0</v>
      </c>
      <c r="J48" s="223">
        <f t="shared" si="10"/>
        <v>40604242.950000003</v>
      </c>
      <c r="K48" s="222">
        <v>13534747.65</v>
      </c>
      <c r="L48" s="224">
        <v>0</v>
      </c>
      <c r="M48" s="223">
        <f t="shared" si="11"/>
        <v>54138990.600000001</v>
      </c>
      <c r="N48" s="222">
        <v>13534747.65</v>
      </c>
      <c r="O48" s="224">
        <v>0</v>
      </c>
      <c r="P48" s="223">
        <f t="shared" si="12"/>
        <v>67673738.25</v>
      </c>
      <c r="Q48" s="222">
        <v>13534747.65</v>
      </c>
      <c r="R48" s="224">
        <v>0</v>
      </c>
      <c r="S48" s="223">
        <f t="shared" si="13"/>
        <v>81208485.900000006</v>
      </c>
      <c r="T48" s="222">
        <v>13534747.65</v>
      </c>
      <c r="U48" s="224">
        <v>0</v>
      </c>
      <c r="V48" s="223">
        <f t="shared" si="14"/>
        <v>94743233.549999997</v>
      </c>
      <c r="W48" s="222">
        <v>13534747.65</v>
      </c>
      <c r="X48" s="224">
        <v>0</v>
      </c>
      <c r="Y48" s="223">
        <f t="shared" si="15"/>
        <v>108277981.2</v>
      </c>
    </row>
    <row r="49" spans="1:25" s="58" customFormat="1" ht="15" customHeight="1">
      <c r="A49" s="182"/>
      <c r="B49" s="225"/>
      <c r="C49" s="227"/>
      <c r="D49" s="226">
        <f t="shared" si="8"/>
        <v>0</v>
      </c>
      <c r="E49" s="225"/>
      <c r="F49" s="227"/>
      <c r="G49" s="226">
        <f t="shared" si="9"/>
        <v>0</v>
      </c>
      <c r="H49" s="225"/>
      <c r="I49" s="227"/>
      <c r="J49" s="226">
        <f t="shared" si="10"/>
        <v>0</v>
      </c>
      <c r="K49" s="225"/>
      <c r="L49" s="227"/>
      <c r="M49" s="226">
        <f t="shared" si="11"/>
        <v>0</v>
      </c>
      <c r="N49" s="225"/>
      <c r="O49" s="227"/>
      <c r="P49" s="226">
        <f t="shared" si="12"/>
        <v>0</v>
      </c>
      <c r="Q49" s="225"/>
      <c r="R49" s="227"/>
      <c r="S49" s="226">
        <f t="shared" si="13"/>
        <v>0</v>
      </c>
      <c r="T49" s="225"/>
      <c r="U49" s="227"/>
      <c r="V49" s="226">
        <f t="shared" si="14"/>
        <v>0</v>
      </c>
      <c r="W49" s="225"/>
      <c r="X49" s="227"/>
      <c r="Y49" s="226">
        <f t="shared" si="15"/>
        <v>0</v>
      </c>
    </row>
    <row r="50" spans="1:25" s="58" customFormat="1" ht="15" customHeight="1">
      <c r="A50" s="178" t="s">
        <v>87</v>
      </c>
      <c r="B50" s="216"/>
      <c r="C50" s="218"/>
      <c r="D50" s="217">
        <f t="shared" si="8"/>
        <v>0</v>
      </c>
      <c r="E50" s="216"/>
      <c r="F50" s="218"/>
      <c r="G50" s="217">
        <f t="shared" si="9"/>
        <v>0</v>
      </c>
      <c r="H50" s="216"/>
      <c r="I50" s="218"/>
      <c r="J50" s="217">
        <f t="shared" si="10"/>
        <v>0</v>
      </c>
      <c r="K50" s="216"/>
      <c r="L50" s="218"/>
      <c r="M50" s="217">
        <f t="shared" si="11"/>
        <v>0</v>
      </c>
      <c r="N50" s="216"/>
      <c r="O50" s="218"/>
      <c r="P50" s="217">
        <f t="shared" si="12"/>
        <v>0</v>
      </c>
      <c r="Q50" s="216"/>
      <c r="R50" s="218"/>
      <c r="S50" s="217">
        <f t="shared" si="13"/>
        <v>0</v>
      </c>
      <c r="T50" s="216"/>
      <c r="U50" s="218"/>
      <c r="V50" s="217">
        <f t="shared" si="14"/>
        <v>0</v>
      </c>
      <c r="W50" s="216"/>
      <c r="X50" s="218"/>
      <c r="Y50" s="217">
        <f t="shared" si="15"/>
        <v>0</v>
      </c>
    </row>
    <row r="51" spans="1:25" s="58" customFormat="1" ht="15" customHeight="1">
      <c r="A51" s="178" t="s">
        <v>190</v>
      </c>
      <c r="B51" s="216"/>
      <c r="C51" s="218"/>
      <c r="D51" s="217">
        <f t="shared" si="8"/>
        <v>0</v>
      </c>
      <c r="E51" s="216"/>
      <c r="F51" s="218"/>
      <c r="G51" s="217">
        <f t="shared" si="9"/>
        <v>0</v>
      </c>
      <c r="H51" s="216"/>
      <c r="I51" s="218"/>
      <c r="J51" s="217">
        <f t="shared" si="10"/>
        <v>0</v>
      </c>
      <c r="K51" s="216"/>
      <c r="L51" s="218"/>
      <c r="M51" s="217">
        <f t="shared" si="11"/>
        <v>0</v>
      </c>
      <c r="N51" s="216"/>
      <c r="O51" s="218"/>
      <c r="P51" s="217">
        <f t="shared" si="12"/>
        <v>0</v>
      </c>
      <c r="Q51" s="216"/>
      <c r="R51" s="218"/>
      <c r="S51" s="217">
        <f t="shared" si="13"/>
        <v>0</v>
      </c>
      <c r="T51" s="216"/>
      <c r="U51" s="218"/>
      <c r="V51" s="217">
        <f t="shared" si="14"/>
        <v>0</v>
      </c>
      <c r="W51" s="216">
        <v>2021.56</v>
      </c>
      <c r="X51" s="218">
        <v>2021.56</v>
      </c>
      <c r="Y51" s="217">
        <f t="shared" si="15"/>
        <v>16172.48</v>
      </c>
    </row>
    <row r="52" spans="1:25" s="58" customFormat="1" ht="15" customHeight="1">
      <c r="A52" s="178" t="s">
        <v>88</v>
      </c>
      <c r="B52" s="216">
        <v>7219.32</v>
      </c>
      <c r="C52" s="218">
        <v>0</v>
      </c>
      <c r="D52" s="217">
        <f t="shared" si="8"/>
        <v>7219.32</v>
      </c>
      <c r="E52" s="216">
        <v>7219.32</v>
      </c>
      <c r="F52" s="218">
        <v>0</v>
      </c>
      <c r="G52" s="217">
        <f t="shared" si="9"/>
        <v>14438.64</v>
      </c>
      <c r="H52" s="216">
        <v>7219.32</v>
      </c>
      <c r="I52" s="218">
        <v>0</v>
      </c>
      <c r="J52" s="217">
        <f t="shared" si="10"/>
        <v>21657.96</v>
      </c>
      <c r="K52" s="216">
        <v>7219.32</v>
      </c>
      <c r="L52" s="218">
        <v>0</v>
      </c>
      <c r="M52" s="217">
        <f t="shared" si="11"/>
        <v>28877.279999999999</v>
      </c>
      <c r="N52" s="216">
        <v>7219.32</v>
      </c>
      <c r="O52" s="218">
        <v>0</v>
      </c>
      <c r="P52" s="217">
        <f t="shared" si="12"/>
        <v>36096.6</v>
      </c>
      <c r="Q52" s="216">
        <v>7219.32</v>
      </c>
      <c r="R52" s="218">
        <v>0</v>
      </c>
      <c r="S52" s="217">
        <f t="shared" si="13"/>
        <v>43315.92</v>
      </c>
      <c r="T52" s="216">
        <v>7219.32</v>
      </c>
      <c r="U52" s="218">
        <v>0</v>
      </c>
      <c r="V52" s="217">
        <f t="shared" si="14"/>
        <v>50535.24</v>
      </c>
      <c r="W52" s="216">
        <v>7219.32</v>
      </c>
      <c r="X52" s="218">
        <v>0</v>
      </c>
      <c r="Y52" s="217">
        <f t="shared" si="15"/>
        <v>57754.559999999998</v>
      </c>
    </row>
    <row r="53" spans="1:25" s="58" customFormat="1" ht="15" customHeight="1">
      <c r="A53" s="178" t="s">
        <v>89</v>
      </c>
      <c r="B53" s="216"/>
      <c r="C53" s="218"/>
      <c r="D53" s="217">
        <f t="shared" si="8"/>
        <v>0</v>
      </c>
      <c r="E53" s="216"/>
      <c r="F53" s="218"/>
      <c r="G53" s="217">
        <f t="shared" si="9"/>
        <v>0</v>
      </c>
      <c r="H53" s="216"/>
      <c r="I53" s="218"/>
      <c r="J53" s="217">
        <f t="shared" si="10"/>
        <v>0</v>
      </c>
      <c r="K53" s="216"/>
      <c r="L53" s="218"/>
      <c r="M53" s="217">
        <f t="shared" si="11"/>
        <v>0</v>
      </c>
      <c r="N53" s="216"/>
      <c r="O53" s="218"/>
      <c r="P53" s="217">
        <f t="shared" si="12"/>
        <v>0</v>
      </c>
      <c r="Q53" s="216">
        <v>2400</v>
      </c>
      <c r="R53" s="218">
        <v>2400</v>
      </c>
      <c r="S53" s="217">
        <f t="shared" si="13"/>
        <v>14400</v>
      </c>
      <c r="T53" s="216">
        <v>2400</v>
      </c>
      <c r="U53" s="218">
        <v>0</v>
      </c>
      <c r="V53" s="217">
        <f t="shared" si="14"/>
        <v>16800</v>
      </c>
      <c r="W53" s="216">
        <v>2400</v>
      </c>
      <c r="X53" s="218">
        <v>0</v>
      </c>
      <c r="Y53" s="217">
        <f t="shared" si="15"/>
        <v>19200</v>
      </c>
    </row>
    <row r="54" spans="1:25" s="58" customFormat="1" ht="15" customHeight="1">
      <c r="A54" s="178" t="s">
        <v>90</v>
      </c>
      <c r="B54" s="216">
        <v>5357</v>
      </c>
      <c r="C54" s="218">
        <v>0</v>
      </c>
      <c r="D54" s="217">
        <f t="shared" si="8"/>
        <v>5357</v>
      </c>
      <c r="E54" s="216">
        <v>5357</v>
      </c>
      <c r="F54" s="218">
        <v>0</v>
      </c>
      <c r="G54" s="217">
        <f t="shared" si="9"/>
        <v>10714</v>
      </c>
      <c r="H54" s="216">
        <v>5357</v>
      </c>
      <c r="I54" s="218">
        <v>0</v>
      </c>
      <c r="J54" s="217">
        <f t="shared" si="10"/>
        <v>16071</v>
      </c>
      <c r="K54" s="216">
        <v>5357</v>
      </c>
      <c r="L54" s="218">
        <v>0</v>
      </c>
      <c r="M54" s="217">
        <f t="shared" si="11"/>
        <v>21428</v>
      </c>
      <c r="N54" s="216">
        <v>5357</v>
      </c>
      <c r="O54" s="218">
        <v>0</v>
      </c>
      <c r="P54" s="217">
        <f t="shared" si="12"/>
        <v>26785</v>
      </c>
      <c r="Q54" s="216">
        <v>5357</v>
      </c>
      <c r="R54" s="218">
        <v>0</v>
      </c>
      <c r="S54" s="217">
        <f t="shared" si="13"/>
        <v>32142</v>
      </c>
      <c r="T54" s="216">
        <v>5357</v>
      </c>
      <c r="U54" s="218">
        <v>0</v>
      </c>
      <c r="V54" s="217">
        <f t="shared" si="14"/>
        <v>37499</v>
      </c>
      <c r="W54" s="216">
        <v>5357</v>
      </c>
      <c r="X54" s="218">
        <v>0</v>
      </c>
      <c r="Y54" s="217">
        <f t="shared" si="15"/>
        <v>42856</v>
      </c>
    </row>
    <row r="55" spans="1:25" ht="15" customHeight="1">
      <c r="A55" s="178" t="s">
        <v>91</v>
      </c>
      <c r="B55" s="216">
        <v>7515</v>
      </c>
      <c r="C55" s="218">
        <v>0</v>
      </c>
      <c r="D55" s="217">
        <f t="shared" si="8"/>
        <v>7515</v>
      </c>
      <c r="E55" s="216">
        <v>7515</v>
      </c>
      <c r="F55" s="218">
        <v>0</v>
      </c>
      <c r="G55" s="217">
        <f t="shared" si="9"/>
        <v>15030</v>
      </c>
      <c r="H55" s="216">
        <v>7515</v>
      </c>
      <c r="I55" s="218">
        <v>0</v>
      </c>
      <c r="J55" s="217">
        <f t="shared" si="10"/>
        <v>22545</v>
      </c>
      <c r="K55" s="216">
        <v>7515</v>
      </c>
      <c r="L55" s="218">
        <v>0</v>
      </c>
      <c r="M55" s="217">
        <f t="shared" si="11"/>
        <v>30060</v>
      </c>
      <c r="N55" s="216">
        <v>7515</v>
      </c>
      <c r="O55" s="218">
        <v>0</v>
      </c>
      <c r="P55" s="217">
        <f t="shared" si="12"/>
        <v>37575</v>
      </c>
      <c r="Q55" s="216">
        <v>7515</v>
      </c>
      <c r="R55" s="218">
        <v>0</v>
      </c>
      <c r="S55" s="217">
        <f t="shared" si="13"/>
        <v>45090</v>
      </c>
      <c r="T55" s="216">
        <v>7515</v>
      </c>
      <c r="U55" s="218">
        <v>0</v>
      </c>
      <c r="V55" s="217">
        <f t="shared" si="14"/>
        <v>52605</v>
      </c>
      <c r="W55" s="216">
        <v>7515</v>
      </c>
      <c r="X55" s="218">
        <v>0</v>
      </c>
      <c r="Y55" s="217">
        <f t="shared" si="15"/>
        <v>60120</v>
      </c>
    </row>
    <row r="56" spans="1:25" s="58" customFormat="1" ht="15" customHeight="1">
      <c r="A56" s="178" t="s">
        <v>92</v>
      </c>
      <c r="B56" s="219">
        <v>661.25</v>
      </c>
      <c r="C56" s="221">
        <v>0</v>
      </c>
      <c r="D56" s="220">
        <f t="shared" si="8"/>
        <v>661.25</v>
      </c>
      <c r="E56" s="219">
        <v>661.25</v>
      </c>
      <c r="F56" s="221">
        <v>0</v>
      </c>
      <c r="G56" s="220">
        <f t="shared" si="9"/>
        <v>1322.5</v>
      </c>
      <c r="H56" s="219">
        <v>661.25</v>
      </c>
      <c r="I56" s="221">
        <v>0</v>
      </c>
      <c r="J56" s="220">
        <f t="shared" si="10"/>
        <v>1983.75</v>
      </c>
      <c r="K56" s="219">
        <v>661.25</v>
      </c>
      <c r="L56" s="221">
        <v>0</v>
      </c>
      <c r="M56" s="220">
        <f t="shared" si="11"/>
        <v>2645</v>
      </c>
      <c r="N56" s="219">
        <v>661.25</v>
      </c>
      <c r="O56" s="221">
        <v>0</v>
      </c>
      <c r="P56" s="220">
        <f t="shared" si="12"/>
        <v>3306.25</v>
      </c>
      <c r="Q56" s="219">
        <v>661.25</v>
      </c>
      <c r="R56" s="221">
        <v>0</v>
      </c>
      <c r="S56" s="220">
        <f t="shared" si="13"/>
        <v>3967.5</v>
      </c>
      <c r="T56" s="219">
        <v>661.25</v>
      </c>
      <c r="U56" s="221">
        <v>0</v>
      </c>
      <c r="V56" s="220">
        <f t="shared" si="14"/>
        <v>4628.75</v>
      </c>
      <c r="W56" s="219">
        <v>661.25</v>
      </c>
      <c r="X56" s="221">
        <v>0</v>
      </c>
      <c r="Y56" s="220">
        <f t="shared" si="15"/>
        <v>5290</v>
      </c>
    </row>
    <row r="57" spans="1:25" s="58" customFormat="1" ht="15" customHeight="1">
      <c r="A57" s="178" t="s">
        <v>87</v>
      </c>
      <c r="B57" s="222">
        <v>20752.57</v>
      </c>
      <c r="C57" s="224">
        <v>0</v>
      </c>
      <c r="D57" s="223">
        <f t="shared" si="8"/>
        <v>20752.57</v>
      </c>
      <c r="E57" s="222">
        <v>20752.57</v>
      </c>
      <c r="F57" s="224">
        <v>0</v>
      </c>
      <c r="G57" s="223">
        <f t="shared" si="9"/>
        <v>41505.14</v>
      </c>
      <c r="H57" s="222">
        <v>20752.57</v>
      </c>
      <c r="I57" s="224">
        <v>0</v>
      </c>
      <c r="J57" s="223">
        <f t="shared" si="10"/>
        <v>62257.71</v>
      </c>
      <c r="K57" s="222">
        <v>20752.57</v>
      </c>
      <c r="L57" s="224">
        <v>0</v>
      </c>
      <c r="M57" s="223">
        <f t="shared" si="11"/>
        <v>83010.28</v>
      </c>
      <c r="N57" s="222">
        <v>20752.57</v>
      </c>
      <c r="O57" s="224">
        <v>0</v>
      </c>
      <c r="P57" s="223">
        <f t="shared" si="12"/>
        <v>103762.85</v>
      </c>
      <c r="Q57" s="222">
        <v>23152.57</v>
      </c>
      <c r="R57" s="224">
        <v>2400</v>
      </c>
      <c r="S57" s="223">
        <f t="shared" si="13"/>
        <v>138915.41999999998</v>
      </c>
      <c r="T57" s="222">
        <v>23152.57</v>
      </c>
      <c r="U57" s="224">
        <v>0</v>
      </c>
      <c r="V57" s="223">
        <f t="shared" si="14"/>
        <v>162067.99</v>
      </c>
      <c r="W57" s="222">
        <v>25174.13</v>
      </c>
      <c r="X57" s="224">
        <v>2021.56</v>
      </c>
      <c r="Y57" s="223">
        <f t="shared" si="15"/>
        <v>201393.04</v>
      </c>
    </row>
    <row r="58" spans="1:25" s="58" customFormat="1" ht="15" customHeight="1">
      <c r="A58" s="182"/>
      <c r="B58" s="225"/>
      <c r="C58" s="227"/>
      <c r="D58" s="226">
        <f t="shared" si="8"/>
        <v>0</v>
      </c>
      <c r="E58" s="225"/>
      <c r="F58" s="227"/>
      <c r="G58" s="226">
        <f t="shared" si="9"/>
        <v>0</v>
      </c>
      <c r="H58" s="225"/>
      <c r="I58" s="227"/>
      <c r="J58" s="226">
        <f t="shared" si="10"/>
        <v>0</v>
      </c>
      <c r="K58" s="225"/>
      <c r="L58" s="227"/>
      <c r="M58" s="226">
        <f t="shared" si="11"/>
        <v>0</v>
      </c>
      <c r="N58" s="225"/>
      <c r="O58" s="227"/>
      <c r="P58" s="226">
        <f t="shared" si="12"/>
        <v>0</v>
      </c>
      <c r="Q58" s="225"/>
      <c r="R58" s="227"/>
      <c r="S58" s="226">
        <f t="shared" si="13"/>
        <v>0</v>
      </c>
      <c r="T58" s="225"/>
      <c r="U58" s="227"/>
      <c r="V58" s="226">
        <f t="shared" si="14"/>
        <v>0</v>
      </c>
      <c r="W58" s="225"/>
      <c r="X58" s="227"/>
      <c r="Y58" s="226">
        <f t="shared" si="15"/>
        <v>0</v>
      </c>
    </row>
    <row r="59" spans="1:25" ht="15" customHeight="1">
      <c r="A59" s="178" t="s">
        <v>191</v>
      </c>
      <c r="B59" s="216"/>
      <c r="C59" s="218"/>
      <c r="D59" s="217">
        <f t="shared" si="8"/>
        <v>0</v>
      </c>
      <c r="E59" s="216"/>
      <c r="F59" s="218"/>
      <c r="G59" s="217">
        <f t="shared" si="9"/>
        <v>0</v>
      </c>
      <c r="H59" s="216"/>
      <c r="I59" s="218"/>
      <c r="J59" s="217">
        <f t="shared" si="10"/>
        <v>0</v>
      </c>
      <c r="K59" s="216"/>
      <c r="L59" s="218"/>
      <c r="M59" s="217">
        <f t="shared" si="11"/>
        <v>0</v>
      </c>
      <c r="N59" s="216"/>
      <c r="O59" s="218"/>
      <c r="P59" s="217">
        <f t="shared" si="12"/>
        <v>0</v>
      </c>
      <c r="Q59" s="216"/>
      <c r="R59" s="218"/>
      <c r="S59" s="217">
        <f t="shared" si="13"/>
        <v>0</v>
      </c>
      <c r="T59" s="216"/>
      <c r="U59" s="218"/>
      <c r="V59" s="217">
        <f t="shared" si="14"/>
        <v>0</v>
      </c>
      <c r="W59" s="216"/>
      <c r="X59" s="218"/>
      <c r="Y59" s="217">
        <f t="shared" si="15"/>
        <v>0</v>
      </c>
    </row>
    <row r="60" spans="1:25" s="58" customFormat="1" ht="15" customHeight="1">
      <c r="A60" s="178" t="s">
        <v>192</v>
      </c>
      <c r="B60" s="219">
        <v>46250</v>
      </c>
      <c r="C60" s="221">
        <v>1250</v>
      </c>
      <c r="D60" s="220">
        <f t="shared" si="8"/>
        <v>46250</v>
      </c>
      <c r="E60" s="219">
        <v>47500</v>
      </c>
      <c r="F60" s="221">
        <v>1250</v>
      </c>
      <c r="G60" s="220">
        <f t="shared" si="9"/>
        <v>95000</v>
      </c>
      <c r="H60" s="219">
        <v>48750</v>
      </c>
      <c r="I60" s="221">
        <v>1250</v>
      </c>
      <c r="J60" s="220">
        <f t="shared" si="10"/>
        <v>146250</v>
      </c>
      <c r="K60" s="219">
        <v>50000</v>
      </c>
      <c r="L60" s="221">
        <v>1250</v>
      </c>
      <c r="M60" s="220">
        <f t="shared" si="11"/>
        <v>200000</v>
      </c>
      <c r="N60" s="219">
        <v>51250</v>
      </c>
      <c r="O60" s="221">
        <v>1250</v>
      </c>
      <c r="P60" s="220">
        <f t="shared" si="12"/>
        <v>256250</v>
      </c>
      <c r="Q60" s="219">
        <v>52500</v>
      </c>
      <c r="R60" s="221">
        <v>1250</v>
      </c>
      <c r="S60" s="220">
        <f t="shared" si="13"/>
        <v>315000</v>
      </c>
      <c r="T60" s="219">
        <v>53750</v>
      </c>
      <c r="U60" s="221">
        <v>1250</v>
      </c>
      <c r="V60" s="220">
        <f t="shared" si="14"/>
        <v>376250</v>
      </c>
      <c r="W60" s="219">
        <v>55000</v>
      </c>
      <c r="X60" s="221">
        <v>1250</v>
      </c>
      <c r="Y60" s="220">
        <f t="shared" si="15"/>
        <v>440000</v>
      </c>
    </row>
    <row r="61" spans="1:25" s="58" customFormat="1" ht="15" customHeight="1">
      <c r="A61" s="178" t="s">
        <v>191</v>
      </c>
      <c r="B61" s="222">
        <v>46250</v>
      </c>
      <c r="C61" s="224">
        <v>1250</v>
      </c>
      <c r="D61" s="223">
        <f t="shared" si="8"/>
        <v>46250</v>
      </c>
      <c r="E61" s="222">
        <v>47500</v>
      </c>
      <c r="F61" s="224">
        <v>1250</v>
      </c>
      <c r="G61" s="223">
        <f t="shared" si="9"/>
        <v>95000</v>
      </c>
      <c r="H61" s="222">
        <v>48750</v>
      </c>
      <c r="I61" s="224">
        <v>1250</v>
      </c>
      <c r="J61" s="223">
        <f t="shared" si="10"/>
        <v>146250</v>
      </c>
      <c r="K61" s="222">
        <v>50000</v>
      </c>
      <c r="L61" s="224">
        <v>1250</v>
      </c>
      <c r="M61" s="223">
        <f t="shared" si="11"/>
        <v>200000</v>
      </c>
      <c r="N61" s="222">
        <v>51250</v>
      </c>
      <c r="O61" s="224">
        <v>1250</v>
      </c>
      <c r="P61" s="223">
        <f t="shared" si="12"/>
        <v>256250</v>
      </c>
      <c r="Q61" s="222">
        <v>52500</v>
      </c>
      <c r="R61" s="224">
        <v>1250</v>
      </c>
      <c r="S61" s="223">
        <f t="shared" si="13"/>
        <v>315000</v>
      </c>
      <c r="T61" s="222">
        <v>53750</v>
      </c>
      <c r="U61" s="224">
        <v>1250</v>
      </c>
      <c r="V61" s="223">
        <f t="shared" si="14"/>
        <v>376250</v>
      </c>
      <c r="W61" s="222">
        <v>55000</v>
      </c>
      <c r="X61" s="224">
        <v>1250</v>
      </c>
      <c r="Y61" s="223">
        <f t="shared" si="15"/>
        <v>440000</v>
      </c>
    </row>
    <row r="62" spans="1:25" s="58" customFormat="1" ht="15" customHeight="1">
      <c r="A62" s="182"/>
      <c r="B62" s="225"/>
      <c r="C62" s="227"/>
      <c r="D62" s="226">
        <f t="shared" si="8"/>
        <v>0</v>
      </c>
      <c r="E62" s="225"/>
      <c r="F62" s="227"/>
      <c r="G62" s="226">
        <f t="shared" si="9"/>
        <v>0</v>
      </c>
      <c r="H62" s="225"/>
      <c r="I62" s="227"/>
      <c r="J62" s="226">
        <f t="shared" si="10"/>
        <v>0</v>
      </c>
      <c r="K62" s="225"/>
      <c r="L62" s="227"/>
      <c r="M62" s="226">
        <f t="shared" si="11"/>
        <v>0</v>
      </c>
      <c r="N62" s="225"/>
      <c r="O62" s="227"/>
      <c r="P62" s="226">
        <f t="shared" si="12"/>
        <v>0</v>
      </c>
      <c r="Q62" s="225"/>
      <c r="R62" s="227"/>
      <c r="S62" s="226">
        <f t="shared" si="13"/>
        <v>0</v>
      </c>
      <c r="T62" s="225"/>
      <c r="U62" s="227"/>
      <c r="V62" s="226">
        <f t="shared" si="14"/>
        <v>0</v>
      </c>
      <c r="W62" s="225"/>
      <c r="X62" s="227"/>
      <c r="Y62" s="226">
        <f t="shared" si="15"/>
        <v>0</v>
      </c>
    </row>
    <row r="63" spans="1:25" s="58" customFormat="1" ht="15" customHeight="1">
      <c r="A63" s="178" t="s">
        <v>93</v>
      </c>
      <c r="B63" s="216"/>
      <c r="C63" s="218"/>
      <c r="D63" s="217">
        <f t="shared" si="8"/>
        <v>0</v>
      </c>
      <c r="E63" s="216"/>
      <c r="F63" s="218"/>
      <c r="G63" s="217">
        <f t="shared" si="9"/>
        <v>0</v>
      </c>
      <c r="H63" s="216"/>
      <c r="I63" s="218"/>
      <c r="J63" s="217">
        <f t="shared" si="10"/>
        <v>0</v>
      </c>
      <c r="K63" s="216"/>
      <c r="L63" s="218"/>
      <c r="M63" s="217">
        <f t="shared" si="11"/>
        <v>0</v>
      </c>
      <c r="N63" s="216"/>
      <c r="O63" s="218"/>
      <c r="P63" s="217">
        <f t="shared" si="12"/>
        <v>0</v>
      </c>
      <c r="Q63" s="216"/>
      <c r="R63" s="218"/>
      <c r="S63" s="217">
        <f t="shared" si="13"/>
        <v>0</v>
      </c>
      <c r="T63" s="216"/>
      <c r="U63" s="218"/>
      <c r="V63" s="217">
        <f t="shared" si="14"/>
        <v>0</v>
      </c>
      <c r="W63" s="216"/>
      <c r="X63" s="218"/>
      <c r="Y63" s="217">
        <f t="shared" si="15"/>
        <v>0</v>
      </c>
    </row>
    <row r="64" spans="1:25" s="58" customFormat="1" ht="15" customHeight="1">
      <c r="A64" s="178" t="s">
        <v>94</v>
      </c>
      <c r="B64" s="216">
        <v>-1316246</v>
      </c>
      <c r="C64" s="218">
        <v>0</v>
      </c>
      <c r="D64" s="217">
        <f t="shared" si="8"/>
        <v>-1316246</v>
      </c>
      <c r="E64" s="216">
        <v>-1316246</v>
      </c>
      <c r="F64" s="218">
        <v>0</v>
      </c>
      <c r="G64" s="217">
        <f t="shared" si="9"/>
        <v>-2632492</v>
      </c>
      <c r="H64" s="216">
        <v>-1316246</v>
      </c>
      <c r="I64" s="218">
        <v>0</v>
      </c>
      <c r="J64" s="217">
        <f t="shared" si="10"/>
        <v>-3948738</v>
      </c>
      <c r="K64" s="216">
        <v>-1316246</v>
      </c>
      <c r="L64" s="218">
        <v>0</v>
      </c>
      <c r="M64" s="217">
        <f t="shared" si="11"/>
        <v>-5264984</v>
      </c>
      <c r="N64" s="216">
        <v>-1316246</v>
      </c>
      <c r="O64" s="218">
        <v>0</v>
      </c>
      <c r="P64" s="217">
        <f t="shared" si="12"/>
        <v>-6581230</v>
      </c>
      <c r="Q64" s="216">
        <v>-1316246</v>
      </c>
      <c r="R64" s="218">
        <v>0</v>
      </c>
      <c r="S64" s="217">
        <f t="shared" si="13"/>
        <v>-7897476</v>
      </c>
      <c r="T64" s="216">
        <v>-1316246</v>
      </c>
      <c r="U64" s="218">
        <v>0</v>
      </c>
      <c r="V64" s="217">
        <f t="shared" si="14"/>
        <v>-9213722</v>
      </c>
      <c r="W64" s="216">
        <v>-1316246</v>
      </c>
      <c r="X64" s="218">
        <v>0</v>
      </c>
      <c r="Y64" s="217">
        <f t="shared" si="15"/>
        <v>-10529968</v>
      </c>
    </row>
    <row r="65" spans="1:25" ht="15" customHeight="1">
      <c r="A65" s="178" t="s">
        <v>95</v>
      </c>
      <c r="B65" s="219">
        <v>-49361</v>
      </c>
      <c r="C65" s="221">
        <v>0</v>
      </c>
      <c r="D65" s="220">
        <f t="shared" si="8"/>
        <v>-49361</v>
      </c>
      <c r="E65" s="219">
        <v>-49361</v>
      </c>
      <c r="F65" s="221">
        <v>0</v>
      </c>
      <c r="G65" s="220">
        <f t="shared" si="9"/>
        <v>-98722</v>
      </c>
      <c r="H65" s="219">
        <v>-49361</v>
      </c>
      <c r="I65" s="221">
        <v>0</v>
      </c>
      <c r="J65" s="220">
        <f t="shared" si="10"/>
        <v>-148083</v>
      </c>
      <c r="K65" s="219">
        <v>-49361</v>
      </c>
      <c r="L65" s="221">
        <v>0</v>
      </c>
      <c r="M65" s="220">
        <f t="shared" si="11"/>
        <v>-197444</v>
      </c>
      <c r="N65" s="219">
        <v>-49361</v>
      </c>
      <c r="O65" s="221">
        <v>0</v>
      </c>
      <c r="P65" s="220">
        <f t="shared" si="12"/>
        <v>-246805</v>
      </c>
      <c r="Q65" s="219">
        <v>-49361</v>
      </c>
      <c r="R65" s="221">
        <v>0</v>
      </c>
      <c r="S65" s="220">
        <f t="shared" si="13"/>
        <v>-296166</v>
      </c>
      <c r="T65" s="219">
        <v>-49361</v>
      </c>
      <c r="U65" s="221">
        <v>0</v>
      </c>
      <c r="V65" s="220">
        <f t="shared" si="14"/>
        <v>-345527</v>
      </c>
      <c r="W65" s="219">
        <v>-49361</v>
      </c>
      <c r="X65" s="221">
        <v>0</v>
      </c>
      <c r="Y65" s="220">
        <f t="shared" si="15"/>
        <v>-394888</v>
      </c>
    </row>
    <row r="66" spans="1:25" s="58" customFormat="1" ht="15" customHeight="1">
      <c r="A66" s="178" t="s">
        <v>93</v>
      </c>
      <c r="B66" s="228">
        <v>-1365607</v>
      </c>
      <c r="C66" s="230">
        <v>0</v>
      </c>
      <c r="D66" s="229">
        <f t="shared" si="8"/>
        <v>-1365607</v>
      </c>
      <c r="E66" s="228">
        <v>-1365607</v>
      </c>
      <c r="F66" s="230">
        <v>0</v>
      </c>
      <c r="G66" s="229">
        <f t="shared" si="9"/>
        <v>-2731214</v>
      </c>
      <c r="H66" s="228">
        <v>-1365607</v>
      </c>
      <c r="I66" s="230">
        <v>0</v>
      </c>
      <c r="J66" s="229">
        <f t="shared" si="10"/>
        <v>-4096821</v>
      </c>
      <c r="K66" s="228">
        <v>-1365607</v>
      </c>
      <c r="L66" s="230">
        <v>0</v>
      </c>
      <c r="M66" s="229">
        <f t="shared" si="11"/>
        <v>-5462428</v>
      </c>
      <c r="N66" s="228">
        <v>-1365607</v>
      </c>
      <c r="O66" s="230">
        <v>0</v>
      </c>
      <c r="P66" s="229">
        <f t="shared" si="12"/>
        <v>-6828035</v>
      </c>
      <c r="Q66" s="228">
        <v>-1365607</v>
      </c>
      <c r="R66" s="230">
        <v>0</v>
      </c>
      <c r="S66" s="229">
        <f t="shared" si="13"/>
        <v>-8193642</v>
      </c>
      <c r="T66" s="228">
        <v>-1365607</v>
      </c>
      <c r="U66" s="230">
        <v>0</v>
      </c>
      <c r="V66" s="229">
        <f t="shared" si="14"/>
        <v>-9559249</v>
      </c>
      <c r="W66" s="228">
        <v>-1365607</v>
      </c>
      <c r="X66" s="230">
        <v>0</v>
      </c>
      <c r="Y66" s="229">
        <f t="shared" si="15"/>
        <v>-10924856</v>
      </c>
    </row>
    <row r="67" spans="1:25" s="58" customFormat="1" ht="15" customHeight="1">
      <c r="A67" s="178" t="s">
        <v>96</v>
      </c>
      <c r="B67" s="222">
        <v>15780504.220000001</v>
      </c>
      <c r="C67" s="224">
        <v>1250</v>
      </c>
      <c r="D67" s="223">
        <f t="shared" si="8"/>
        <v>15780504.220000001</v>
      </c>
      <c r="E67" s="222">
        <v>15781754.220000001</v>
      </c>
      <c r="F67" s="224">
        <v>1250</v>
      </c>
      <c r="G67" s="223">
        <f t="shared" si="9"/>
        <v>31563508.440000001</v>
      </c>
      <c r="H67" s="222">
        <v>15783004.220000001</v>
      </c>
      <c r="I67" s="224">
        <v>1250</v>
      </c>
      <c r="J67" s="223">
        <f t="shared" si="10"/>
        <v>47349012.660000004</v>
      </c>
      <c r="K67" s="222">
        <v>15784254.220000001</v>
      </c>
      <c r="L67" s="224">
        <v>1250</v>
      </c>
      <c r="M67" s="223">
        <f t="shared" si="11"/>
        <v>63137016.880000003</v>
      </c>
      <c r="N67" s="222">
        <v>15785504.220000001</v>
      </c>
      <c r="O67" s="224">
        <v>1250</v>
      </c>
      <c r="P67" s="223">
        <f t="shared" si="12"/>
        <v>78927521.100000009</v>
      </c>
      <c r="Q67" s="222">
        <v>15789154.220000001</v>
      </c>
      <c r="R67" s="224">
        <v>3650</v>
      </c>
      <c r="S67" s="223">
        <f t="shared" si="13"/>
        <v>94734925.320000008</v>
      </c>
      <c r="T67" s="222">
        <v>15790404.220000001</v>
      </c>
      <c r="U67" s="224">
        <v>1250</v>
      </c>
      <c r="V67" s="223">
        <f t="shared" si="14"/>
        <v>110532829.54000001</v>
      </c>
      <c r="W67" s="222">
        <v>15793675.779999999</v>
      </c>
      <c r="X67" s="224">
        <v>3271.56</v>
      </c>
      <c r="Y67" s="223">
        <f t="shared" si="15"/>
        <v>126349406.23999999</v>
      </c>
    </row>
    <row r="68" spans="1:25" s="58" customFormat="1" ht="15" customHeight="1">
      <c r="A68" s="182"/>
      <c r="B68" s="225"/>
      <c r="C68" s="227"/>
      <c r="D68" s="226">
        <f t="shared" si="8"/>
        <v>0</v>
      </c>
      <c r="E68" s="225"/>
      <c r="F68" s="227"/>
      <c r="G68" s="226">
        <f t="shared" si="9"/>
        <v>0</v>
      </c>
      <c r="H68" s="225"/>
      <c r="I68" s="227"/>
      <c r="J68" s="226">
        <f t="shared" si="10"/>
        <v>0</v>
      </c>
      <c r="K68" s="225"/>
      <c r="L68" s="227"/>
      <c r="M68" s="226">
        <f t="shared" si="11"/>
        <v>0</v>
      </c>
      <c r="N68" s="225"/>
      <c r="O68" s="227"/>
      <c r="P68" s="226">
        <f t="shared" si="12"/>
        <v>0</v>
      </c>
      <c r="Q68" s="225"/>
      <c r="R68" s="227"/>
      <c r="S68" s="226">
        <f t="shared" si="13"/>
        <v>0</v>
      </c>
      <c r="T68" s="225"/>
      <c r="U68" s="227"/>
      <c r="V68" s="226">
        <f t="shared" si="14"/>
        <v>0</v>
      </c>
      <c r="W68" s="225"/>
      <c r="X68" s="227"/>
      <c r="Y68" s="226">
        <f t="shared" si="15"/>
        <v>0</v>
      </c>
    </row>
    <row r="69" spans="1:25" s="58" customFormat="1" ht="15" customHeight="1">
      <c r="A69" s="178" t="s">
        <v>97</v>
      </c>
      <c r="B69" s="216"/>
      <c r="C69" s="218"/>
      <c r="D69" s="217">
        <f t="shared" si="8"/>
        <v>0</v>
      </c>
      <c r="E69" s="216"/>
      <c r="F69" s="218"/>
      <c r="G69" s="217">
        <f t="shared" si="9"/>
        <v>0</v>
      </c>
      <c r="H69" s="216"/>
      <c r="I69" s="218"/>
      <c r="J69" s="217">
        <f t="shared" si="10"/>
        <v>0</v>
      </c>
      <c r="K69" s="216"/>
      <c r="L69" s="218"/>
      <c r="M69" s="217">
        <f t="shared" si="11"/>
        <v>0</v>
      </c>
      <c r="N69" s="216"/>
      <c r="O69" s="218"/>
      <c r="P69" s="217">
        <f t="shared" si="12"/>
        <v>0</v>
      </c>
      <c r="Q69" s="216"/>
      <c r="R69" s="218"/>
      <c r="S69" s="217">
        <f t="shared" si="13"/>
        <v>0</v>
      </c>
      <c r="T69" s="216"/>
      <c r="U69" s="218"/>
      <c r="V69" s="217">
        <f t="shared" si="14"/>
        <v>0</v>
      </c>
      <c r="W69" s="216"/>
      <c r="X69" s="218"/>
      <c r="Y69" s="217">
        <f t="shared" si="15"/>
        <v>0</v>
      </c>
    </row>
    <row r="70" spans="1:25" ht="15" customHeight="1">
      <c r="A70" s="178" t="s">
        <v>98</v>
      </c>
      <c r="B70" s="216"/>
      <c r="C70" s="218"/>
      <c r="D70" s="217">
        <f t="shared" si="8"/>
        <v>0</v>
      </c>
      <c r="E70" s="216"/>
      <c r="F70" s="218"/>
      <c r="G70" s="217">
        <f t="shared" si="9"/>
        <v>0</v>
      </c>
      <c r="H70" s="216"/>
      <c r="I70" s="218"/>
      <c r="J70" s="217">
        <f t="shared" si="10"/>
        <v>0</v>
      </c>
      <c r="K70" s="216"/>
      <c r="L70" s="218"/>
      <c r="M70" s="217">
        <f t="shared" si="11"/>
        <v>0</v>
      </c>
      <c r="N70" s="216"/>
      <c r="O70" s="218"/>
      <c r="P70" s="217">
        <f t="shared" si="12"/>
        <v>0</v>
      </c>
      <c r="Q70" s="216"/>
      <c r="R70" s="218"/>
      <c r="S70" s="217">
        <f t="shared" si="13"/>
        <v>0</v>
      </c>
      <c r="T70" s="216"/>
      <c r="U70" s="218"/>
      <c r="V70" s="217">
        <f t="shared" si="14"/>
        <v>0</v>
      </c>
      <c r="W70" s="216"/>
      <c r="X70" s="218"/>
      <c r="Y70" s="217">
        <f t="shared" si="15"/>
        <v>0</v>
      </c>
    </row>
    <row r="71" spans="1:25" s="58" customFormat="1" ht="15" customHeight="1">
      <c r="A71" s="178" t="s">
        <v>99</v>
      </c>
      <c r="B71" s="219">
        <v>21355.7</v>
      </c>
      <c r="C71" s="221">
        <v>0</v>
      </c>
      <c r="D71" s="220">
        <f t="shared" si="8"/>
        <v>21355.7</v>
      </c>
      <c r="E71" s="219">
        <v>21355.7</v>
      </c>
      <c r="F71" s="221">
        <v>0</v>
      </c>
      <c r="G71" s="220">
        <f t="shared" si="9"/>
        <v>42711.4</v>
      </c>
      <c r="H71" s="219">
        <v>21355.7</v>
      </c>
      <c r="I71" s="221">
        <v>0</v>
      </c>
      <c r="J71" s="220">
        <f t="shared" si="10"/>
        <v>64067.100000000006</v>
      </c>
      <c r="K71" s="219">
        <v>21355.7</v>
      </c>
      <c r="L71" s="221">
        <v>0</v>
      </c>
      <c r="M71" s="220">
        <f t="shared" si="11"/>
        <v>85422.8</v>
      </c>
      <c r="N71" s="219">
        <v>21355.7</v>
      </c>
      <c r="O71" s="221">
        <v>0</v>
      </c>
      <c r="P71" s="220">
        <f t="shared" si="12"/>
        <v>106778.5</v>
      </c>
      <c r="Q71" s="219">
        <v>21355.7</v>
      </c>
      <c r="R71" s="221">
        <v>0</v>
      </c>
      <c r="S71" s="220">
        <f t="shared" si="13"/>
        <v>128134.20000000001</v>
      </c>
      <c r="T71" s="219">
        <v>21355.7</v>
      </c>
      <c r="U71" s="221">
        <v>0</v>
      </c>
      <c r="V71" s="220">
        <f t="shared" si="14"/>
        <v>149489.9</v>
      </c>
      <c r="W71" s="219">
        <v>21355.7</v>
      </c>
      <c r="X71" s="221">
        <v>0</v>
      </c>
      <c r="Y71" s="220">
        <f t="shared" si="15"/>
        <v>170845.6</v>
      </c>
    </row>
    <row r="72" spans="1:25" s="58" customFormat="1" ht="15" customHeight="1">
      <c r="A72" s="178" t="s">
        <v>98</v>
      </c>
      <c r="B72" s="222">
        <v>21355.7</v>
      </c>
      <c r="C72" s="224">
        <v>0</v>
      </c>
      <c r="D72" s="223">
        <f t="shared" si="8"/>
        <v>21355.7</v>
      </c>
      <c r="E72" s="222">
        <v>21355.7</v>
      </c>
      <c r="F72" s="224">
        <v>0</v>
      </c>
      <c r="G72" s="223">
        <f t="shared" si="9"/>
        <v>42711.4</v>
      </c>
      <c r="H72" s="222">
        <v>21355.7</v>
      </c>
      <c r="I72" s="224">
        <v>0</v>
      </c>
      <c r="J72" s="223">
        <f t="shared" si="10"/>
        <v>64067.100000000006</v>
      </c>
      <c r="K72" s="222">
        <v>21355.7</v>
      </c>
      <c r="L72" s="224">
        <v>0</v>
      </c>
      <c r="M72" s="223">
        <f t="shared" si="11"/>
        <v>85422.8</v>
      </c>
      <c r="N72" s="222">
        <v>21355.7</v>
      </c>
      <c r="O72" s="224">
        <v>0</v>
      </c>
      <c r="P72" s="223">
        <f t="shared" si="12"/>
        <v>106778.5</v>
      </c>
      <c r="Q72" s="222">
        <v>21355.7</v>
      </c>
      <c r="R72" s="224">
        <v>0</v>
      </c>
      <c r="S72" s="223">
        <f t="shared" si="13"/>
        <v>128134.20000000001</v>
      </c>
      <c r="T72" s="222">
        <v>21355.7</v>
      </c>
      <c r="U72" s="224">
        <v>0</v>
      </c>
      <c r="V72" s="223">
        <f t="shared" si="14"/>
        <v>149489.9</v>
      </c>
      <c r="W72" s="222">
        <v>21355.7</v>
      </c>
      <c r="X72" s="224">
        <v>0</v>
      </c>
      <c r="Y72" s="223">
        <f t="shared" si="15"/>
        <v>170845.6</v>
      </c>
    </row>
    <row r="73" spans="1:25" s="58" customFormat="1" ht="15" customHeight="1">
      <c r="A73" s="182"/>
      <c r="B73" s="225"/>
      <c r="C73" s="227"/>
      <c r="D73" s="226">
        <f t="shared" ref="D73:D104" si="16">+B73*$D$4</f>
        <v>0</v>
      </c>
      <c r="E73" s="225"/>
      <c r="F73" s="227"/>
      <c r="G73" s="226">
        <f t="shared" ref="G73:G104" si="17">+E73*$G$4</f>
        <v>0</v>
      </c>
      <c r="H73" s="225"/>
      <c r="I73" s="227"/>
      <c r="J73" s="226">
        <f t="shared" ref="J73:J104" si="18">+H73*$J$4</f>
        <v>0</v>
      </c>
      <c r="K73" s="225"/>
      <c r="L73" s="227"/>
      <c r="M73" s="226">
        <f t="shared" ref="M73:M104" si="19">+K73*$M$4</f>
        <v>0</v>
      </c>
      <c r="N73" s="225"/>
      <c r="O73" s="227"/>
      <c r="P73" s="226">
        <f t="shared" ref="P73:P104" si="20">+N73*$P$4</f>
        <v>0</v>
      </c>
      <c r="Q73" s="225"/>
      <c r="R73" s="227"/>
      <c r="S73" s="226">
        <f t="shared" ref="S73:S104" si="21">+Q73*$S$4</f>
        <v>0</v>
      </c>
      <c r="T73" s="225"/>
      <c r="U73" s="227"/>
      <c r="V73" s="226">
        <f t="shared" ref="V73:V104" si="22">+T73*$V$4</f>
        <v>0</v>
      </c>
      <c r="W73" s="225"/>
      <c r="X73" s="227"/>
      <c r="Y73" s="226">
        <f t="shared" ref="Y73:Y104" si="23">+W73*$Y$4</f>
        <v>0</v>
      </c>
    </row>
    <row r="74" spans="1:25" s="58" customFormat="1" ht="15" customHeight="1">
      <c r="A74" s="178" t="s">
        <v>100</v>
      </c>
      <c r="B74" s="216"/>
      <c r="C74" s="218"/>
      <c r="D74" s="217">
        <f t="shared" si="16"/>
        <v>0</v>
      </c>
      <c r="E74" s="216"/>
      <c r="F74" s="218"/>
      <c r="G74" s="217">
        <f t="shared" si="17"/>
        <v>0</v>
      </c>
      <c r="H74" s="216"/>
      <c r="I74" s="218"/>
      <c r="J74" s="217">
        <f t="shared" si="18"/>
        <v>0</v>
      </c>
      <c r="K74" s="216"/>
      <c r="L74" s="218"/>
      <c r="M74" s="217">
        <f t="shared" si="19"/>
        <v>0</v>
      </c>
      <c r="N74" s="216"/>
      <c r="O74" s="218"/>
      <c r="P74" s="217">
        <f t="shared" si="20"/>
        <v>0</v>
      </c>
      <c r="Q74" s="216"/>
      <c r="R74" s="218"/>
      <c r="S74" s="217">
        <f t="shared" si="21"/>
        <v>0</v>
      </c>
      <c r="T74" s="216"/>
      <c r="U74" s="218"/>
      <c r="V74" s="217">
        <f t="shared" si="22"/>
        <v>0</v>
      </c>
      <c r="W74" s="216"/>
      <c r="X74" s="218"/>
      <c r="Y74" s="217">
        <f t="shared" si="23"/>
        <v>0</v>
      </c>
    </row>
    <row r="75" spans="1:25" s="58" customFormat="1" ht="15" customHeight="1">
      <c r="A75" s="178" t="s">
        <v>101</v>
      </c>
      <c r="B75" s="219">
        <v>243165</v>
      </c>
      <c r="C75" s="221">
        <v>0</v>
      </c>
      <c r="D75" s="220">
        <f t="shared" si="16"/>
        <v>243165</v>
      </c>
      <c r="E75" s="219">
        <v>243165</v>
      </c>
      <c r="F75" s="221">
        <v>0</v>
      </c>
      <c r="G75" s="220">
        <f t="shared" si="17"/>
        <v>486330</v>
      </c>
      <c r="H75" s="219">
        <v>243165</v>
      </c>
      <c r="I75" s="221">
        <v>0</v>
      </c>
      <c r="J75" s="220">
        <f t="shared" si="18"/>
        <v>729495</v>
      </c>
      <c r="K75" s="219">
        <v>243165</v>
      </c>
      <c r="L75" s="221">
        <v>0</v>
      </c>
      <c r="M75" s="220">
        <f t="shared" si="19"/>
        <v>972660</v>
      </c>
      <c r="N75" s="219">
        <v>243165</v>
      </c>
      <c r="O75" s="221">
        <v>0</v>
      </c>
      <c r="P75" s="220">
        <f t="shared" si="20"/>
        <v>1215825</v>
      </c>
      <c r="Q75" s="219">
        <v>243165</v>
      </c>
      <c r="R75" s="221">
        <v>0</v>
      </c>
      <c r="S75" s="220">
        <f t="shared" si="21"/>
        <v>1458990</v>
      </c>
      <c r="T75" s="219">
        <v>243165</v>
      </c>
      <c r="U75" s="221">
        <v>0</v>
      </c>
      <c r="V75" s="220">
        <f t="shared" si="22"/>
        <v>1702155</v>
      </c>
      <c r="W75" s="219">
        <v>243165</v>
      </c>
      <c r="X75" s="221">
        <v>0</v>
      </c>
      <c r="Y75" s="220">
        <f t="shared" si="23"/>
        <v>1945320</v>
      </c>
    </row>
    <row r="76" spans="1:25" ht="15" customHeight="1">
      <c r="A76" s="178" t="s">
        <v>100</v>
      </c>
      <c r="B76" s="228">
        <v>243165</v>
      </c>
      <c r="C76" s="230">
        <v>0</v>
      </c>
      <c r="D76" s="229">
        <f t="shared" si="16"/>
        <v>243165</v>
      </c>
      <c r="E76" s="228">
        <v>243165</v>
      </c>
      <c r="F76" s="230">
        <v>0</v>
      </c>
      <c r="G76" s="229">
        <f t="shared" si="17"/>
        <v>486330</v>
      </c>
      <c r="H76" s="228">
        <v>243165</v>
      </c>
      <c r="I76" s="230">
        <v>0</v>
      </c>
      <c r="J76" s="229">
        <f t="shared" si="18"/>
        <v>729495</v>
      </c>
      <c r="K76" s="228">
        <v>243165</v>
      </c>
      <c r="L76" s="230">
        <v>0</v>
      </c>
      <c r="M76" s="229">
        <f t="shared" si="19"/>
        <v>972660</v>
      </c>
      <c r="N76" s="228">
        <v>243165</v>
      </c>
      <c r="O76" s="230">
        <v>0</v>
      </c>
      <c r="P76" s="229">
        <f t="shared" si="20"/>
        <v>1215825</v>
      </c>
      <c r="Q76" s="228">
        <v>243165</v>
      </c>
      <c r="R76" s="230">
        <v>0</v>
      </c>
      <c r="S76" s="229">
        <f t="shared" si="21"/>
        <v>1458990</v>
      </c>
      <c r="T76" s="228">
        <v>243165</v>
      </c>
      <c r="U76" s="230">
        <v>0</v>
      </c>
      <c r="V76" s="229">
        <f t="shared" si="22"/>
        <v>1702155</v>
      </c>
      <c r="W76" s="228">
        <v>243165</v>
      </c>
      <c r="X76" s="230">
        <v>0</v>
      </c>
      <c r="Y76" s="229">
        <f t="shared" si="23"/>
        <v>1945320</v>
      </c>
    </row>
    <row r="77" spans="1:25" s="58" customFormat="1" ht="15" customHeight="1" thickBot="1">
      <c r="A77" s="178" t="s">
        <v>102</v>
      </c>
      <c r="B77" s="222">
        <v>264520.7</v>
      </c>
      <c r="C77" s="224">
        <v>0</v>
      </c>
      <c r="D77" s="223">
        <f t="shared" si="16"/>
        <v>264520.7</v>
      </c>
      <c r="E77" s="222">
        <v>264520.7</v>
      </c>
      <c r="F77" s="224">
        <v>0</v>
      </c>
      <c r="G77" s="223">
        <f t="shared" si="17"/>
        <v>529041.4</v>
      </c>
      <c r="H77" s="222">
        <v>264520.7</v>
      </c>
      <c r="I77" s="224">
        <v>0</v>
      </c>
      <c r="J77" s="223">
        <f t="shared" si="18"/>
        <v>793562.10000000009</v>
      </c>
      <c r="K77" s="222">
        <v>264520.7</v>
      </c>
      <c r="L77" s="224">
        <v>0</v>
      </c>
      <c r="M77" s="223">
        <f t="shared" si="19"/>
        <v>1058082.8</v>
      </c>
      <c r="N77" s="222">
        <v>264520.7</v>
      </c>
      <c r="O77" s="224">
        <v>0</v>
      </c>
      <c r="P77" s="223">
        <f t="shared" si="20"/>
        <v>1322603.5</v>
      </c>
      <c r="Q77" s="222">
        <v>264520.7</v>
      </c>
      <c r="R77" s="224">
        <v>0</v>
      </c>
      <c r="S77" s="223">
        <f t="shared" si="21"/>
        <v>1587124.2000000002</v>
      </c>
      <c r="T77" s="222">
        <v>264520.7</v>
      </c>
      <c r="U77" s="224">
        <v>0</v>
      </c>
      <c r="V77" s="223">
        <f t="shared" si="22"/>
        <v>1851644.9000000001</v>
      </c>
      <c r="W77" s="222">
        <v>264520.7</v>
      </c>
      <c r="X77" s="224">
        <v>0</v>
      </c>
      <c r="Y77" s="223">
        <f t="shared" si="23"/>
        <v>2116165.6</v>
      </c>
    </row>
    <row r="78" spans="1:25" s="234" customFormat="1" ht="15" customHeight="1" thickBot="1">
      <c r="A78" s="235" t="s">
        <v>103</v>
      </c>
      <c r="B78" s="236">
        <v>16451574.75</v>
      </c>
      <c r="C78" s="237">
        <v>86997.02</v>
      </c>
      <c r="D78" s="238">
        <f t="shared" si="16"/>
        <v>16451574.75</v>
      </c>
      <c r="E78" s="236">
        <v>16450109.26</v>
      </c>
      <c r="F78" s="237">
        <v>-1465.49</v>
      </c>
      <c r="G78" s="238">
        <f t="shared" si="17"/>
        <v>32900218.52</v>
      </c>
      <c r="H78" s="236">
        <v>16464746.26</v>
      </c>
      <c r="I78" s="237">
        <v>14637</v>
      </c>
      <c r="J78" s="238">
        <f t="shared" si="18"/>
        <v>49394238.780000001</v>
      </c>
      <c r="K78" s="236">
        <v>16458252.17</v>
      </c>
      <c r="L78" s="237">
        <v>-6494.09</v>
      </c>
      <c r="M78" s="238">
        <f t="shared" si="19"/>
        <v>65833008.68</v>
      </c>
      <c r="N78" s="236">
        <v>16457817.6</v>
      </c>
      <c r="O78" s="237">
        <v>-434.57</v>
      </c>
      <c r="P78" s="238">
        <f t="shared" si="20"/>
        <v>82289088</v>
      </c>
      <c r="Q78" s="236">
        <v>16470981.35</v>
      </c>
      <c r="R78" s="237">
        <v>13163.75</v>
      </c>
      <c r="S78" s="238">
        <f t="shared" si="21"/>
        <v>98825888.099999994</v>
      </c>
      <c r="T78" s="236">
        <v>16513019.029999999</v>
      </c>
      <c r="U78" s="237">
        <v>42037.68</v>
      </c>
      <c r="V78" s="238">
        <f t="shared" si="22"/>
        <v>115591133.20999999</v>
      </c>
      <c r="W78" s="236">
        <v>16484702.050000001</v>
      </c>
      <c r="X78" s="237">
        <v>-28316.98</v>
      </c>
      <c r="Y78" s="238">
        <f t="shared" si="23"/>
        <v>131877616.40000001</v>
      </c>
    </row>
    <row r="79" spans="1:25" s="58" customFormat="1" ht="15" customHeight="1">
      <c r="A79" s="182"/>
      <c r="B79" s="225"/>
      <c r="C79" s="227"/>
      <c r="D79" s="226">
        <f t="shared" si="16"/>
        <v>0</v>
      </c>
      <c r="E79" s="225"/>
      <c r="F79" s="227"/>
      <c r="G79" s="226">
        <f t="shared" si="17"/>
        <v>0</v>
      </c>
      <c r="H79" s="225"/>
      <c r="I79" s="227"/>
      <c r="J79" s="226">
        <f t="shared" si="18"/>
        <v>0</v>
      </c>
      <c r="K79" s="225"/>
      <c r="L79" s="227"/>
      <c r="M79" s="226">
        <f t="shared" si="19"/>
        <v>0</v>
      </c>
      <c r="N79" s="225"/>
      <c r="O79" s="227"/>
      <c r="P79" s="226">
        <f t="shared" si="20"/>
        <v>0</v>
      </c>
      <c r="Q79" s="225"/>
      <c r="R79" s="227"/>
      <c r="S79" s="226">
        <f t="shared" si="21"/>
        <v>0</v>
      </c>
      <c r="T79" s="225"/>
      <c r="U79" s="227"/>
      <c r="V79" s="226">
        <f t="shared" si="22"/>
        <v>0</v>
      </c>
      <c r="W79" s="225"/>
      <c r="X79" s="227"/>
      <c r="Y79" s="226">
        <f t="shared" si="23"/>
        <v>0</v>
      </c>
    </row>
    <row r="80" spans="1:25" s="58" customFormat="1" ht="15" customHeight="1">
      <c r="A80" s="178" t="s">
        <v>104</v>
      </c>
      <c r="B80" s="216"/>
      <c r="C80" s="218"/>
      <c r="D80" s="217">
        <f t="shared" si="16"/>
        <v>0</v>
      </c>
      <c r="E80" s="216"/>
      <c r="F80" s="218"/>
      <c r="G80" s="217">
        <f t="shared" si="17"/>
        <v>0</v>
      </c>
      <c r="H80" s="216"/>
      <c r="I80" s="218"/>
      <c r="J80" s="217">
        <f t="shared" si="18"/>
        <v>0</v>
      </c>
      <c r="K80" s="216"/>
      <c r="L80" s="218"/>
      <c r="M80" s="217">
        <f t="shared" si="19"/>
        <v>0</v>
      </c>
      <c r="N80" s="216"/>
      <c r="O80" s="218"/>
      <c r="P80" s="217">
        <f t="shared" si="20"/>
        <v>0</v>
      </c>
      <c r="Q80" s="216"/>
      <c r="R80" s="218"/>
      <c r="S80" s="217">
        <f t="shared" si="21"/>
        <v>0</v>
      </c>
      <c r="T80" s="216"/>
      <c r="U80" s="218"/>
      <c r="V80" s="217">
        <f t="shared" si="22"/>
        <v>0</v>
      </c>
      <c r="W80" s="216"/>
      <c r="X80" s="218"/>
      <c r="Y80" s="217">
        <f t="shared" si="23"/>
        <v>0</v>
      </c>
    </row>
    <row r="81" spans="1:25" s="58" customFormat="1" ht="15" customHeight="1">
      <c r="A81" s="178" t="s">
        <v>105</v>
      </c>
      <c r="B81" s="216"/>
      <c r="C81" s="218"/>
      <c r="D81" s="217">
        <f t="shared" si="16"/>
        <v>0</v>
      </c>
      <c r="E81" s="216"/>
      <c r="F81" s="218"/>
      <c r="G81" s="217">
        <f t="shared" si="17"/>
        <v>0</v>
      </c>
      <c r="H81" s="216"/>
      <c r="I81" s="218"/>
      <c r="J81" s="217">
        <f t="shared" si="18"/>
        <v>0</v>
      </c>
      <c r="K81" s="216"/>
      <c r="L81" s="218"/>
      <c r="M81" s="217">
        <f t="shared" si="19"/>
        <v>0</v>
      </c>
      <c r="N81" s="216"/>
      <c r="O81" s="218"/>
      <c r="P81" s="217">
        <f t="shared" si="20"/>
        <v>0</v>
      </c>
      <c r="Q81" s="216"/>
      <c r="R81" s="218"/>
      <c r="S81" s="217">
        <f t="shared" si="21"/>
        <v>0</v>
      </c>
      <c r="T81" s="216"/>
      <c r="U81" s="218"/>
      <c r="V81" s="217">
        <f t="shared" si="22"/>
        <v>0</v>
      </c>
      <c r="W81" s="216"/>
      <c r="X81" s="218"/>
      <c r="Y81" s="217">
        <f t="shared" si="23"/>
        <v>0</v>
      </c>
    </row>
    <row r="82" spans="1:25" ht="15" customHeight="1">
      <c r="A82" s="178" t="s">
        <v>106</v>
      </c>
      <c r="B82" s="216"/>
      <c r="C82" s="218"/>
      <c r="D82" s="217">
        <f t="shared" si="16"/>
        <v>0</v>
      </c>
      <c r="E82" s="216"/>
      <c r="F82" s="218"/>
      <c r="G82" s="217">
        <f t="shared" si="17"/>
        <v>0</v>
      </c>
      <c r="H82" s="216"/>
      <c r="I82" s="218"/>
      <c r="J82" s="217">
        <f t="shared" si="18"/>
        <v>0</v>
      </c>
      <c r="K82" s="216"/>
      <c r="L82" s="218"/>
      <c r="M82" s="217">
        <f t="shared" si="19"/>
        <v>0</v>
      </c>
      <c r="N82" s="216"/>
      <c r="O82" s="218"/>
      <c r="P82" s="217">
        <f t="shared" si="20"/>
        <v>0</v>
      </c>
      <c r="Q82" s="216"/>
      <c r="R82" s="218"/>
      <c r="S82" s="217">
        <f t="shared" si="21"/>
        <v>0</v>
      </c>
      <c r="T82" s="216"/>
      <c r="U82" s="218"/>
      <c r="V82" s="217">
        <f t="shared" si="22"/>
        <v>0</v>
      </c>
      <c r="W82" s="216"/>
      <c r="X82" s="218"/>
      <c r="Y82" s="217">
        <f t="shared" si="23"/>
        <v>0</v>
      </c>
    </row>
    <row r="83" spans="1:25" s="58" customFormat="1" ht="15" customHeight="1">
      <c r="A83" s="178" t="s">
        <v>107</v>
      </c>
      <c r="B83" s="219">
        <v>10296.56</v>
      </c>
      <c r="C83" s="221">
        <v>2476.56</v>
      </c>
      <c r="D83" s="220">
        <f t="shared" si="16"/>
        <v>10296.56</v>
      </c>
      <c r="E83" s="219">
        <v>20731.740000000002</v>
      </c>
      <c r="F83" s="221">
        <v>10435.18</v>
      </c>
      <c r="G83" s="220">
        <f t="shared" si="17"/>
        <v>41463.480000000003</v>
      </c>
      <c r="H83" s="219">
        <v>19426.830000000002</v>
      </c>
      <c r="I83" s="221">
        <v>-1304.9100000000001</v>
      </c>
      <c r="J83" s="220">
        <f t="shared" si="18"/>
        <v>58280.490000000005</v>
      </c>
      <c r="K83" s="219">
        <v>8292.36</v>
      </c>
      <c r="L83" s="221">
        <v>-11134.47</v>
      </c>
      <c r="M83" s="220">
        <f t="shared" si="19"/>
        <v>33169.440000000002</v>
      </c>
      <c r="N83" s="219">
        <v>14939.21</v>
      </c>
      <c r="O83" s="221">
        <v>6646.85</v>
      </c>
      <c r="P83" s="220">
        <f t="shared" si="20"/>
        <v>74696.049999999988</v>
      </c>
      <c r="Q83" s="219">
        <v>11509.71</v>
      </c>
      <c r="R83" s="221">
        <v>-3429.5</v>
      </c>
      <c r="S83" s="220">
        <f t="shared" si="21"/>
        <v>69058.259999999995</v>
      </c>
      <c r="T83" s="219">
        <v>7802.61</v>
      </c>
      <c r="U83" s="221">
        <v>-3707.1</v>
      </c>
      <c r="V83" s="220">
        <f t="shared" si="22"/>
        <v>54618.27</v>
      </c>
      <c r="W83" s="219">
        <v>22129.16</v>
      </c>
      <c r="X83" s="221">
        <v>14326.55</v>
      </c>
      <c r="Y83" s="220">
        <f t="shared" si="23"/>
        <v>177033.28</v>
      </c>
    </row>
    <row r="84" spans="1:25" s="58" customFormat="1" ht="15" customHeight="1">
      <c r="A84" s="178" t="s">
        <v>106</v>
      </c>
      <c r="B84" s="222">
        <v>10296.56</v>
      </c>
      <c r="C84" s="224">
        <v>2476.56</v>
      </c>
      <c r="D84" s="223">
        <f t="shared" si="16"/>
        <v>10296.56</v>
      </c>
      <c r="E84" s="222">
        <v>20731.740000000002</v>
      </c>
      <c r="F84" s="224">
        <v>10435.18</v>
      </c>
      <c r="G84" s="223">
        <f t="shared" si="17"/>
        <v>41463.480000000003</v>
      </c>
      <c r="H84" s="222">
        <v>19426.830000000002</v>
      </c>
      <c r="I84" s="224">
        <v>-1304.9100000000001</v>
      </c>
      <c r="J84" s="223">
        <f t="shared" si="18"/>
        <v>58280.490000000005</v>
      </c>
      <c r="K84" s="222">
        <v>8292.36</v>
      </c>
      <c r="L84" s="224">
        <v>-11134.47</v>
      </c>
      <c r="M84" s="223">
        <f t="shared" si="19"/>
        <v>33169.440000000002</v>
      </c>
      <c r="N84" s="222">
        <v>14939.21</v>
      </c>
      <c r="O84" s="224">
        <v>6646.85</v>
      </c>
      <c r="P84" s="223">
        <f t="shared" si="20"/>
        <v>74696.049999999988</v>
      </c>
      <c r="Q84" s="222">
        <v>11509.71</v>
      </c>
      <c r="R84" s="224">
        <v>-3429.5</v>
      </c>
      <c r="S84" s="223">
        <f t="shared" si="21"/>
        <v>69058.259999999995</v>
      </c>
      <c r="T84" s="222">
        <v>7802.61</v>
      </c>
      <c r="U84" s="224">
        <v>-3707.1</v>
      </c>
      <c r="V84" s="223">
        <f t="shared" si="22"/>
        <v>54618.27</v>
      </c>
      <c r="W84" s="222">
        <v>22129.16</v>
      </c>
      <c r="X84" s="224">
        <v>14326.55</v>
      </c>
      <c r="Y84" s="223">
        <f t="shared" si="23"/>
        <v>177033.28</v>
      </c>
    </row>
    <row r="85" spans="1:25" s="58" customFormat="1" ht="15" customHeight="1">
      <c r="A85" s="182"/>
      <c r="B85" s="225"/>
      <c r="C85" s="227"/>
      <c r="D85" s="226">
        <f t="shared" si="16"/>
        <v>0</v>
      </c>
      <c r="E85" s="225"/>
      <c r="F85" s="227"/>
      <c r="G85" s="226">
        <f t="shared" si="17"/>
        <v>0</v>
      </c>
      <c r="H85" s="225"/>
      <c r="I85" s="227"/>
      <c r="J85" s="226">
        <f t="shared" si="18"/>
        <v>0</v>
      </c>
      <c r="K85" s="225"/>
      <c r="L85" s="227"/>
      <c r="M85" s="226">
        <f t="shared" si="19"/>
        <v>0</v>
      </c>
      <c r="N85" s="225"/>
      <c r="O85" s="227"/>
      <c r="P85" s="226">
        <f t="shared" si="20"/>
        <v>0</v>
      </c>
      <c r="Q85" s="225"/>
      <c r="R85" s="227"/>
      <c r="S85" s="226">
        <f t="shared" si="21"/>
        <v>0</v>
      </c>
      <c r="T85" s="225"/>
      <c r="U85" s="227"/>
      <c r="V85" s="226">
        <f t="shared" si="22"/>
        <v>0</v>
      </c>
      <c r="W85" s="225"/>
      <c r="X85" s="227"/>
      <c r="Y85" s="226">
        <f t="shared" si="23"/>
        <v>0</v>
      </c>
    </row>
    <row r="86" spans="1:25" ht="15" customHeight="1">
      <c r="A86" s="178" t="s">
        <v>108</v>
      </c>
      <c r="B86" s="216"/>
      <c r="C86" s="218"/>
      <c r="D86" s="217">
        <f t="shared" si="16"/>
        <v>0</v>
      </c>
      <c r="E86" s="216"/>
      <c r="F86" s="218"/>
      <c r="G86" s="217">
        <f t="shared" si="17"/>
        <v>0</v>
      </c>
      <c r="H86" s="216"/>
      <c r="I86" s="218"/>
      <c r="J86" s="217">
        <f t="shared" si="18"/>
        <v>0</v>
      </c>
      <c r="K86" s="216"/>
      <c r="L86" s="218"/>
      <c r="M86" s="217">
        <f t="shared" si="19"/>
        <v>0</v>
      </c>
      <c r="N86" s="216"/>
      <c r="O86" s="218"/>
      <c r="P86" s="217">
        <f t="shared" si="20"/>
        <v>0</v>
      </c>
      <c r="Q86" s="216"/>
      <c r="R86" s="218"/>
      <c r="S86" s="217">
        <f t="shared" si="21"/>
        <v>0</v>
      </c>
      <c r="T86" s="216"/>
      <c r="U86" s="218"/>
      <c r="V86" s="217">
        <f t="shared" si="22"/>
        <v>0</v>
      </c>
      <c r="W86" s="216"/>
      <c r="X86" s="218"/>
      <c r="Y86" s="217">
        <f t="shared" si="23"/>
        <v>0</v>
      </c>
    </row>
    <row r="87" spans="1:25" s="58" customFormat="1" ht="15" customHeight="1">
      <c r="A87" s="178" t="s">
        <v>109</v>
      </c>
      <c r="B87" s="219">
        <v>21480000</v>
      </c>
      <c r="C87" s="221">
        <v>0</v>
      </c>
      <c r="D87" s="220">
        <f t="shared" si="16"/>
        <v>21480000</v>
      </c>
      <c r="E87" s="219">
        <v>21480000</v>
      </c>
      <c r="F87" s="221">
        <v>0</v>
      </c>
      <c r="G87" s="220">
        <f t="shared" si="17"/>
        <v>42960000</v>
      </c>
      <c r="H87" s="219">
        <v>21480000</v>
      </c>
      <c r="I87" s="221">
        <v>0</v>
      </c>
      <c r="J87" s="220">
        <f t="shared" si="18"/>
        <v>64440000</v>
      </c>
      <c r="K87" s="219">
        <v>21480000</v>
      </c>
      <c r="L87" s="221">
        <v>0</v>
      </c>
      <c r="M87" s="220">
        <f t="shared" si="19"/>
        <v>85920000</v>
      </c>
      <c r="N87" s="219">
        <v>21480000</v>
      </c>
      <c r="O87" s="221">
        <v>0</v>
      </c>
      <c r="P87" s="220">
        <f t="shared" si="20"/>
        <v>107400000</v>
      </c>
      <c r="Q87" s="219">
        <v>21480000</v>
      </c>
      <c r="R87" s="221">
        <v>0</v>
      </c>
      <c r="S87" s="220">
        <f t="shared" si="21"/>
        <v>128880000</v>
      </c>
      <c r="T87" s="219">
        <v>21480000</v>
      </c>
      <c r="U87" s="221">
        <v>0</v>
      </c>
      <c r="V87" s="220">
        <f t="shared" si="22"/>
        <v>150360000</v>
      </c>
      <c r="W87" s="219">
        <v>21480000</v>
      </c>
      <c r="X87" s="221">
        <v>0</v>
      </c>
      <c r="Y87" s="220">
        <f t="shared" si="23"/>
        <v>171840000</v>
      </c>
    </row>
    <row r="88" spans="1:25" s="58" customFormat="1" ht="15" customHeight="1">
      <c r="A88" s="178" t="s">
        <v>108</v>
      </c>
      <c r="B88" s="222">
        <v>21480000</v>
      </c>
      <c r="C88" s="224">
        <v>0</v>
      </c>
      <c r="D88" s="223">
        <f t="shared" si="16"/>
        <v>21480000</v>
      </c>
      <c r="E88" s="222">
        <v>21480000</v>
      </c>
      <c r="F88" s="224">
        <v>0</v>
      </c>
      <c r="G88" s="223">
        <f t="shared" si="17"/>
        <v>42960000</v>
      </c>
      <c r="H88" s="222">
        <v>21480000</v>
      </c>
      <c r="I88" s="224">
        <v>0</v>
      </c>
      <c r="J88" s="223">
        <f t="shared" si="18"/>
        <v>64440000</v>
      </c>
      <c r="K88" s="222">
        <v>21480000</v>
      </c>
      <c r="L88" s="224">
        <v>0</v>
      </c>
      <c r="M88" s="223">
        <f t="shared" si="19"/>
        <v>85920000</v>
      </c>
      <c r="N88" s="222">
        <v>21480000</v>
      </c>
      <c r="O88" s="224">
        <v>0</v>
      </c>
      <c r="P88" s="223">
        <f t="shared" si="20"/>
        <v>107400000</v>
      </c>
      <c r="Q88" s="222">
        <v>21480000</v>
      </c>
      <c r="R88" s="224">
        <v>0</v>
      </c>
      <c r="S88" s="223">
        <f t="shared" si="21"/>
        <v>128880000</v>
      </c>
      <c r="T88" s="222">
        <v>21480000</v>
      </c>
      <c r="U88" s="224">
        <v>0</v>
      </c>
      <c r="V88" s="223">
        <f t="shared" si="22"/>
        <v>150360000</v>
      </c>
      <c r="W88" s="222">
        <v>21480000</v>
      </c>
      <c r="X88" s="224">
        <v>0</v>
      </c>
      <c r="Y88" s="223">
        <f t="shared" si="23"/>
        <v>171840000</v>
      </c>
    </row>
    <row r="89" spans="1:25" s="58" customFormat="1" ht="15" customHeight="1">
      <c r="A89" s="182"/>
      <c r="B89" s="225"/>
      <c r="C89" s="227"/>
      <c r="D89" s="226">
        <f t="shared" si="16"/>
        <v>0</v>
      </c>
      <c r="E89" s="225"/>
      <c r="F89" s="227"/>
      <c r="G89" s="226">
        <f t="shared" si="17"/>
        <v>0</v>
      </c>
      <c r="H89" s="225"/>
      <c r="I89" s="227"/>
      <c r="J89" s="226">
        <f t="shared" si="18"/>
        <v>0</v>
      </c>
      <c r="K89" s="225"/>
      <c r="L89" s="227"/>
      <c r="M89" s="226">
        <f t="shared" si="19"/>
        <v>0</v>
      </c>
      <c r="N89" s="225"/>
      <c r="O89" s="227"/>
      <c r="P89" s="226">
        <f t="shared" si="20"/>
        <v>0</v>
      </c>
      <c r="Q89" s="225"/>
      <c r="R89" s="227"/>
      <c r="S89" s="226">
        <f t="shared" si="21"/>
        <v>0</v>
      </c>
      <c r="T89" s="225"/>
      <c r="U89" s="227"/>
      <c r="V89" s="226">
        <f t="shared" si="22"/>
        <v>0</v>
      </c>
      <c r="W89" s="225"/>
      <c r="X89" s="227"/>
      <c r="Y89" s="226">
        <f t="shared" si="23"/>
        <v>0</v>
      </c>
    </row>
    <row r="90" spans="1:25" ht="15" customHeight="1">
      <c r="A90" s="178" t="s">
        <v>110</v>
      </c>
      <c r="B90" s="216"/>
      <c r="C90" s="218"/>
      <c r="D90" s="217">
        <f t="shared" si="16"/>
        <v>0</v>
      </c>
      <c r="E90" s="216"/>
      <c r="F90" s="218"/>
      <c r="G90" s="217">
        <f t="shared" si="17"/>
        <v>0</v>
      </c>
      <c r="H90" s="216"/>
      <c r="I90" s="218"/>
      <c r="J90" s="217">
        <f t="shared" si="18"/>
        <v>0</v>
      </c>
      <c r="K90" s="216"/>
      <c r="L90" s="218"/>
      <c r="M90" s="217">
        <f t="shared" si="19"/>
        <v>0</v>
      </c>
      <c r="N90" s="216"/>
      <c r="O90" s="218"/>
      <c r="P90" s="217">
        <f t="shared" si="20"/>
        <v>0</v>
      </c>
      <c r="Q90" s="216"/>
      <c r="R90" s="218"/>
      <c r="S90" s="217">
        <f t="shared" si="21"/>
        <v>0</v>
      </c>
      <c r="T90" s="216"/>
      <c r="U90" s="218"/>
      <c r="V90" s="217">
        <f t="shared" si="22"/>
        <v>0</v>
      </c>
      <c r="W90" s="216"/>
      <c r="X90" s="218"/>
      <c r="Y90" s="217">
        <f t="shared" si="23"/>
        <v>0</v>
      </c>
    </row>
    <row r="91" spans="1:25" s="58" customFormat="1" ht="15" customHeight="1">
      <c r="A91" s="178" t="s">
        <v>111</v>
      </c>
      <c r="B91" s="216">
        <v>76401.899999999994</v>
      </c>
      <c r="C91" s="218">
        <v>20636.28</v>
      </c>
      <c r="D91" s="217">
        <f t="shared" si="16"/>
        <v>76401.899999999994</v>
      </c>
      <c r="E91" s="216">
        <v>67006.820000000007</v>
      </c>
      <c r="F91" s="218">
        <v>-9395.08</v>
      </c>
      <c r="G91" s="217">
        <f t="shared" si="17"/>
        <v>134013.64000000001</v>
      </c>
      <c r="H91" s="216">
        <v>49188.56</v>
      </c>
      <c r="I91" s="218">
        <v>-17818.259999999998</v>
      </c>
      <c r="J91" s="217">
        <f t="shared" si="18"/>
        <v>147565.68</v>
      </c>
      <c r="K91" s="216">
        <v>60634.14</v>
      </c>
      <c r="L91" s="218">
        <v>11445.58</v>
      </c>
      <c r="M91" s="217">
        <f t="shared" si="19"/>
        <v>242536.56</v>
      </c>
      <c r="N91" s="216">
        <v>55691.86</v>
      </c>
      <c r="O91" s="218">
        <v>-4942.28</v>
      </c>
      <c r="P91" s="217">
        <f t="shared" si="20"/>
        <v>278459.3</v>
      </c>
      <c r="Q91" s="216">
        <v>41358.65</v>
      </c>
      <c r="R91" s="218">
        <v>-14333.21</v>
      </c>
      <c r="S91" s="217">
        <f t="shared" si="21"/>
        <v>248151.90000000002</v>
      </c>
      <c r="T91" s="216">
        <v>72176.160000000003</v>
      </c>
      <c r="U91" s="218">
        <v>30817.51</v>
      </c>
      <c r="V91" s="217">
        <f t="shared" si="22"/>
        <v>505233.12</v>
      </c>
      <c r="W91" s="216">
        <v>51081.53</v>
      </c>
      <c r="X91" s="218">
        <v>-21094.63</v>
      </c>
      <c r="Y91" s="217">
        <f t="shared" si="23"/>
        <v>408652.24</v>
      </c>
    </row>
    <row r="92" spans="1:25" s="58" customFormat="1" ht="15" customHeight="1">
      <c r="A92" s="178"/>
      <c r="B92" s="216"/>
      <c r="C92" s="218"/>
      <c r="D92" s="217">
        <f t="shared" si="16"/>
        <v>0</v>
      </c>
      <c r="E92" s="216"/>
      <c r="F92" s="218"/>
      <c r="G92" s="217">
        <f t="shared" si="17"/>
        <v>0</v>
      </c>
      <c r="H92" s="216">
        <v>-15874.66</v>
      </c>
      <c r="I92" s="218">
        <v>-15874.66</v>
      </c>
      <c r="J92" s="217">
        <f t="shared" si="18"/>
        <v>-47623.979999999996</v>
      </c>
      <c r="K92" s="216">
        <v>0</v>
      </c>
      <c r="L92" s="218">
        <v>15874.66</v>
      </c>
      <c r="M92" s="217">
        <f t="shared" si="19"/>
        <v>0</v>
      </c>
      <c r="N92" s="216"/>
      <c r="O92" s="218"/>
      <c r="P92" s="217">
        <f t="shared" si="20"/>
        <v>0</v>
      </c>
      <c r="Q92" s="216"/>
      <c r="R92" s="218"/>
      <c r="S92" s="217">
        <f t="shared" si="21"/>
        <v>0</v>
      </c>
      <c r="T92" s="216"/>
      <c r="U92" s="218"/>
      <c r="V92" s="217">
        <f t="shared" si="22"/>
        <v>0</v>
      </c>
      <c r="W92" s="216"/>
      <c r="X92" s="218"/>
      <c r="Y92" s="217">
        <f t="shared" si="23"/>
        <v>0</v>
      </c>
    </row>
    <row r="93" spans="1:25" s="58" customFormat="1" ht="15" customHeight="1">
      <c r="A93" s="178" t="s">
        <v>110</v>
      </c>
      <c r="B93" s="222">
        <v>76401.899999999994</v>
      </c>
      <c r="C93" s="224">
        <v>20636.28</v>
      </c>
      <c r="D93" s="223">
        <f t="shared" si="16"/>
        <v>76401.899999999994</v>
      </c>
      <c r="E93" s="222">
        <v>67006.820000000007</v>
      </c>
      <c r="F93" s="224">
        <v>-9395.08</v>
      </c>
      <c r="G93" s="223">
        <f t="shared" si="17"/>
        <v>134013.64000000001</v>
      </c>
      <c r="H93" s="222">
        <v>33313.9</v>
      </c>
      <c r="I93" s="224">
        <v>-33692.92</v>
      </c>
      <c r="J93" s="223">
        <f t="shared" si="18"/>
        <v>99941.700000000012</v>
      </c>
      <c r="K93" s="222">
        <v>60634.14</v>
      </c>
      <c r="L93" s="224">
        <v>27320.240000000002</v>
      </c>
      <c r="M93" s="223">
        <f t="shared" si="19"/>
        <v>242536.56</v>
      </c>
      <c r="N93" s="222">
        <v>55691.86</v>
      </c>
      <c r="O93" s="224">
        <v>-4942.28</v>
      </c>
      <c r="P93" s="223">
        <f t="shared" si="20"/>
        <v>278459.3</v>
      </c>
      <c r="Q93" s="222">
        <v>41358.65</v>
      </c>
      <c r="R93" s="224">
        <v>-14333.21</v>
      </c>
      <c r="S93" s="223">
        <f t="shared" si="21"/>
        <v>248151.90000000002</v>
      </c>
      <c r="T93" s="222">
        <v>72176.160000000003</v>
      </c>
      <c r="U93" s="224">
        <v>30817.51</v>
      </c>
      <c r="V93" s="223">
        <f t="shared" si="22"/>
        <v>505233.12</v>
      </c>
      <c r="W93" s="222">
        <v>51081.53</v>
      </c>
      <c r="X93" s="224">
        <v>-21094.63</v>
      </c>
      <c r="Y93" s="223">
        <f t="shared" si="23"/>
        <v>408652.24</v>
      </c>
    </row>
    <row r="94" spans="1:25" s="58" customFormat="1" ht="15" customHeight="1">
      <c r="A94" s="182"/>
      <c r="B94" s="225"/>
      <c r="C94" s="227"/>
      <c r="D94" s="226">
        <f t="shared" si="16"/>
        <v>0</v>
      </c>
      <c r="E94" s="225"/>
      <c r="F94" s="227"/>
      <c r="G94" s="226">
        <f t="shared" si="17"/>
        <v>0</v>
      </c>
      <c r="H94" s="225"/>
      <c r="I94" s="227"/>
      <c r="J94" s="226">
        <f t="shared" si="18"/>
        <v>0</v>
      </c>
      <c r="K94" s="225"/>
      <c r="L94" s="227"/>
      <c r="M94" s="226">
        <f t="shared" si="19"/>
        <v>0</v>
      </c>
      <c r="N94" s="225"/>
      <c r="O94" s="227"/>
      <c r="P94" s="226">
        <f t="shared" si="20"/>
        <v>0</v>
      </c>
      <c r="Q94" s="225"/>
      <c r="R94" s="227"/>
      <c r="S94" s="226">
        <f t="shared" si="21"/>
        <v>0</v>
      </c>
      <c r="T94" s="225"/>
      <c r="U94" s="227"/>
      <c r="V94" s="226">
        <f t="shared" si="22"/>
        <v>0</v>
      </c>
      <c r="W94" s="225"/>
      <c r="X94" s="227"/>
      <c r="Y94" s="226">
        <f t="shared" si="23"/>
        <v>0</v>
      </c>
    </row>
    <row r="95" spans="1:25" ht="15" customHeight="1">
      <c r="A95" s="178" t="s">
        <v>112</v>
      </c>
      <c r="B95" s="216"/>
      <c r="C95" s="218"/>
      <c r="D95" s="217">
        <f t="shared" si="16"/>
        <v>0</v>
      </c>
      <c r="E95" s="216"/>
      <c r="F95" s="218"/>
      <c r="G95" s="217">
        <f t="shared" si="17"/>
        <v>0</v>
      </c>
      <c r="H95" s="216"/>
      <c r="I95" s="218"/>
      <c r="J95" s="217">
        <f t="shared" si="18"/>
        <v>0</v>
      </c>
      <c r="K95" s="216"/>
      <c r="L95" s="218"/>
      <c r="M95" s="217">
        <f t="shared" si="19"/>
        <v>0</v>
      </c>
      <c r="N95" s="216"/>
      <c r="O95" s="218"/>
      <c r="P95" s="217">
        <f t="shared" si="20"/>
        <v>0</v>
      </c>
      <c r="Q95" s="216"/>
      <c r="R95" s="218"/>
      <c r="S95" s="217">
        <f t="shared" si="21"/>
        <v>0</v>
      </c>
      <c r="T95" s="216"/>
      <c r="U95" s="218"/>
      <c r="V95" s="217">
        <f t="shared" si="22"/>
        <v>0</v>
      </c>
      <c r="W95" s="216"/>
      <c r="X95" s="218"/>
      <c r="Y95" s="217">
        <f t="shared" si="23"/>
        <v>0</v>
      </c>
    </row>
    <row r="96" spans="1:25" s="58" customFormat="1" ht="15" customHeight="1">
      <c r="A96" s="178" t="s">
        <v>113</v>
      </c>
      <c r="B96" s="216">
        <v>11683</v>
      </c>
      <c r="C96" s="218">
        <v>5052</v>
      </c>
      <c r="D96" s="217">
        <f t="shared" si="16"/>
        <v>11683</v>
      </c>
      <c r="E96" s="216">
        <v>8738</v>
      </c>
      <c r="F96" s="218">
        <v>-2945</v>
      </c>
      <c r="G96" s="217">
        <f t="shared" si="17"/>
        <v>17476</v>
      </c>
      <c r="H96" s="216">
        <v>11076</v>
      </c>
      <c r="I96" s="218">
        <v>2338</v>
      </c>
      <c r="J96" s="217">
        <f t="shared" si="18"/>
        <v>33228</v>
      </c>
      <c r="K96" s="216">
        <v>12273</v>
      </c>
      <c r="L96" s="218">
        <v>1197</v>
      </c>
      <c r="M96" s="217">
        <f t="shared" si="19"/>
        <v>49092</v>
      </c>
      <c r="N96" s="216">
        <v>6017</v>
      </c>
      <c r="O96" s="218">
        <v>-6256</v>
      </c>
      <c r="P96" s="217">
        <f t="shared" si="20"/>
        <v>30085</v>
      </c>
      <c r="Q96" s="216">
        <v>10025</v>
      </c>
      <c r="R96" s="218">
        <v>4008</v>
      </c>
      <c r="S96" s="217">
        <f t="shared" si="21"/>
        <v>60150</v>
      </c>
      <c r="T96" s="216">
        <v>7349</v>
      </c>
      <c r="U96" s="218">
        <v>-2676</v>
      </c>
      <c r="V96" s="217">
        <f t="shared" si="22"/>
        <v>51443</v>
      </c>
      <c r="W96" s="216">
        <v>10124</v>
      </c>
      <c r="X96" s="218">
        <v>2775</v>
      </c>
      <c r="Y96" s="217">
        <f t="shared" si="23"/>
        <v>80992</v>
      </c>
    </row>
    <row r="97" spans="1:25" s="58" customFormat="1" ht="15" customHeight="1">
      <c r="A97" s="178" t="s">
        <v>114</v>
      </c>
      <c r="B97" s="219">
        <v>12064.61</v>
      </c>
      <c r="C97" s="221">
        <v>-14530.78</v>
      </c>
      <c r="D97" s="220">
        <f t="shared" si="16"/>
        <v>12064.61</v>
      </c>
      <c r="E97" s="219">
        <v>10852.23</v>
      </c>
      <c r="F97" s="221">
        <v>-1212.3800000000001</v>
      </c>
      <c r="G97" s="220">
        <f t="shared" si="17"/>
        <v>21704.46</v>
      </c>
      <c r="H97" s="219">
        <v>10940</v>
      </c>
      <c r="I97" s="221">
        <v>87.77</v>
      </c>
      <c r="J97" s="220">
        <f t="shared" si="18"/>
        <v>32820</v>
      </c>
      <c r="K97" s="219">
        <v>9296.2999999999993</v>
      </c>
      <c r="L97" s="221">
        <v>-1643.7</v>
      </c>
      <c r="M97" s="220">
        <f t="shared" si="19"/>
        <v>37185.199999999997</v>
      </c>
      <c r="N97" s="219">
        <v>9872.5300000000007</v>
      </c>
      <c r="O97" s="221">
        <v>576.23</v>
      </c>
      <c r="P97" s="220">
        <f t="shared" si="20"/>
        <v>49362.65</v>
      </c>
      <c r="Q97" s="219">
        <v>10642.85</v>
      </c>
      <c r="R97" s="221">
        <v>770.32</v>
      </c>
      <c r="S97" s="220">
        <f t="shared" si="21"/>
        <v>63857.100000000006</v>
      </c>
      <c r="T97" s="219">
        <v>10750.8</v>
      </c>
      <c r="U97" s="221">
        <v>107.95</v>
      </c>
      <c r="V97" s="220">
        <f t="shared" si="22"/>
        <v>75255.599999999991</v>
      </c>
      <c r="W97" s="219">
        <v>9724.41</v>
      </c>
      <c r="X97" s="221">
        <v>-1026.3900000000001</v>
      </c>
      <c r="Y97" s="220">
        <f t="shared" si="23"/>
        <v>77795.28</v>
      </c>
    </row>
    <row r="98" spans="1:25" s="58" customFormat="1" ht="15" customHeight="1">
      <c r="A98" s="178" t="s">
        <v>112</v>
      </c>
      <c r="B98" s="222">
        <v>23747.61</v>
      </c>
      <c r="C98" s="224">
        <v>-9478.7800000000007</v>
      </c>
      <c r="D98" s="223">
        <f t="shared" si="16"/>
        <v>23747.61</v>
      </c>
      <c r="E98" s="222">
        <v>19590.23</v>
      </c>
      <c r="F98" s="224">
        <v>-4157.38</v>
      </c>
      <c r="G98" s="223">
        <f t="shared" si="17"/>
        <v>39180.46</v>
      </c>
      <c r="H98" s="222">
        <v>22016</v>
      </c>
      <c r="I98" s="224">
        <v>2425.77</v>
      </c>
      <c r="J98" s="223">
        <f t="shared" si="18"/>
        <v>66048</v>
      </c>
      <c r="K98" s="222">
        <v>21569.3</v>
      </c>
      <c r="L98" s="224">
        <v>-446.7</v>
      </c>
      <c r="M98" s="223">
        <f t="shared" si="19"/>
        <v>86277.2</v>
      </c>
      <c r="N98" s="222">
        <v>15889.53</v>
      </c>
      <c r="O98" s="224">
        <v>-5679.77</v>
      </c>
      <c r="P98" s="223">
        <f t="shared" si="20"/>
        <v>79447.650000000009</v>
      </c>
      <c r="Q98" s="222">
        <v>20667.849999999999</v>
      </c>
      <c r="R98" s="224">
        <v>4778.32</v>
      </c>
      <c r="S98" s="223">
        <f t="shared" si="21"/>
        <v>124007.09999999999</v>
      </c>
      <c r="T98" s="222">
        <v>18099.8</v>
      </c>
      <c r="U98" s="224">
        <v>-2568.0500000000002</v>
      </c>
      <c r="V98" s="223">
        <f t="shared" si="22"/>
        <v>126698.59999999999</v>
      </c>
      <c r="W98" s="222">
        <v>19848.41</v>
      </c>
      <c r="X98" s="224">
        <v>1748.61</v>
      </c>
      <c r="Y98" s="223">
        <f t="shared" si="23"/>
        <v>158787.28</v>
      </c>
    </row>
    <row r="99" spans="1:25" s="58" customFormat="1" ht="15" customHeight="1">
      <c r="A99" s="182"/>
      <c r="B99" s="225"/>
      <c r="C99" s="227"/>
      <c r="D99" s="226">
        <f t="shared" si="16"/>
        <v>0</v>
      </c>
      <c r="E99" s="225"/>
      <c r="F99" s="227"/>
      <c r="G99" s="226">
        <f t="shared" si="17"/>
        <v>0</v>
      </c>
      <c r="H99" s="225"/>
      <c r="I99" s="227"/>
      <c r="J99" s="226">
        <f t="shared" si="18"/>
        <v>0</v>
      </c>
      <c r="K99" s="225"/>
      <c r="L99" s="227"/>
      <c r="M99" s="226">
        <f t="shared" si="19"/>
        <v>0</v>
      </c>
      <c r="N99" s="225"/>
      <c r="O99" s="227"/>
      <c r="P99" s="226">
        <f t="shared" si="20"/>
        <v>0</v>
      </c>
      <c r="Q99" s="225"/>
      <c r="R99" s="227"/>
      <c r="S99" s="226">
        <f t="shared" si="21"/>
        <v>0</v>
      </c>
      <c r="T99" s="225"/>
      <c r="U99" s="227"/>
      <c r="V99" s="226">
        <f t="shared" si="22"/>
        <v>0</v>
      </c>
      <c r="W99" s="225"/>
      <c r="X99" s="227"/>
      <c r="Y99" s="226">
        <f t="shared" si="23"/>
        <v>0</v>
      </c>
    </row>
    <row r="100" spans="1:25" s="58" customFormat="1" ht="15" customHeight="1">
      <c r="A100" s="178" t="s">
        <v>115</v>
      </c>
      <c r="B100" s="216"/>
      <c r="C100" s="218"/>
      <c r="D100" s="217">
        <f t="shared" si="16"/>
        <v>0</v>
      </c>
      <c r="E100" s="216"/>
      <c r="F100" s="218"/>
      <c r="G100" s="217">
        <f t="shared" si="17"/>
        <v>0</v>
      </c>
      <c r="H100" s="216"/>
      <c r="I100" s="218"/>
      <c r="J100" s="217">
        <f t="shared" si="18"/>
        <v>0</v>
      </c>
      <c r="K100" s="216"/>
      <c r="L100" s="218"/>
      <c r="M100" s="217">
        <f t="shared" si="19"/>
        <v>0</v>
      </c>
      <c r="N100" s="216"/>
      <c r="O100" s="218"/>
      <c r="P100" s="217">
        <f t="shared" si="20"/>
        <v>0</v>
      </c>
      <c r="Q100" s="216"/>
      <c r="R100" s="218"/>
      <c r="S100" s="217">
        <f t="shared" si="21"/>
        <v>0</v>
      </c>
      <c r="T100" s="216"/>
      <c r="U100" s="218"/>
      <c r="V100" s="217">
        <f t="shared" si="22"/>
        <v>0</v>
      </c>
      <c r="W100" s="216"/>
      <c r="X100" s="218"/>
      <c r="Y100" s="217">
        <f t="shared" si="23"/>
        <v>0</v>
      </c>
    </row>
    <row r="101" spans="1:25" s="58" customFormat="1" ht="15" customHeight="1">
      <c r="A101" s="178" t="s">
        <v>116</v>
      </c>
      <c r="B101" s="216">
        <v>122005.24</v>
      </c>
      <c r="C101" s="218">
        <v>14978</v>
      </c>
      <c r="D101" s="217">
        <f t="shared" si="16"/>
        <v>122005.24</v>
      </c>
      <c r="E101" s="216">
        <v>124405.24</v>
      </c>
      <c r="F101" s="218">
        <v>2400</v>
      </c>
      <c r="G101" s="217">
        <f t="shared" si="17"/>
        <v>248810.48</v>
      </c>
      <c r="H101" s="216">
        <v>119100.24</v>
      </c>
      <c r="I101" s="218">
        <v>-5305</v>
      </c>
      <c r="J101" s="217">
        <f t="shared" si="18"/>
        <v>357300.72000000003</v>
      </c>
      <c r="K101" s="216">
        <v>116115.24</v>
      </c>
      <c r="L101" s="218">
        <v>-2985</v>
      </c>
      <c r="M101" s="217">
        <f t="shared" si="19"/>
        <v>464460.96</v>
      </c>
      <c r="N101" s="216">
        <v>125015.24</v>
      </c>
      <c r="O101" s="218">
        <v>8900</v>
      </c>
      <c r="P101" s="217">
        <f t="shared" si="20"/>
        <v>625076.20000000007</v>
      </c>
      <c r="Q101" s="216">
        <v>133995.24</v>
      </c>
      <c r="R101" s="218">
        <v>8980</v>
      </c>
      <c r="S101" s="217">
        <f t="shared" si="21"/>
        <v>803971.44</v>
      </c>
      <c r="T101" s="216">
        <v>118622.24</v>
      </c>
      <c r="U101" s="218">
        <v>-15373</v>
      </c>
      <c r="V101" s="217">
        <f t="shared" si="22"/>
        <v>830355.68</v>
      </c>
      <c r="W101" s="216">
        <v>113122.24000000001</v>
      </c>
      <c r="X101" s="218">
        <v>-5500</v>
      </c>
      <c r="Y101" s="217">
        <f t="shared" si="23"/>
        <v>904977.92000000004</v>
      </c>
    </row>
    <row r="102" spans="1:25" s="58" customFormat="1" ht="15" customHeight="1">
      <c r="A102" s="178" t="s">
        <v>117</v>
      </c>
      <c r="B102" s="216">
        <v>1530</v>
      </c>
      <c r="C102" s="218">
        <v>10</v>
      </c>
      <c r="D102" s="217">
        <f t="shared" si="16"/>
        <v>1530</v>
      </c>
      <c r="E102" s="216">
        <v>1590</v>
      </c>
      <c r="F102" s="218">
        <v>60</v>
      </c>
      <c r="G102" s="217">
        <f t="shared" si="17"/>
        <v>3180</v>
      </c>
      <c r="H102" s="216">
        <v>1640</v>
      </c>
      <c r="I102" s="218">
        <v>50</v>
      </c>
      <c r="J102" s="217">
        <f t="shared" si="18"/>
        <v>4920</v>
      </c>
      <c r="K102" s="216">
        <v>1640</v>
      </c>
      <c r="L102" s="218">
        <v>0</v>
      </c>
      <c r="M102" s="217">
        <f t="shared" si="19"/>
        <v>6560</v>
      </c>
      <c r="N102" s="216">
        <v>1790</v>
      </c>
      <c r="O102" s="218">
        <v>150</v>
      </c>
      <c r="P102" s="217">
        <f t="shared" si="20"/>
        <v>8950</v>
      </c>
      <c r="Q102" s="216">
        <v>1790</v>
      </c>
      <c r="R102" s="218">
        <v>0</v>
      </c>
      <c r="S102" s="217">
        <f t="shared" si="21"/>
        <v>10740</v>
      </c>
      <c r="T102" s="216">
        <v>1750</v>
      </c>
      <c r="U102" s="218">
        <v>-40</v>
      </c>
      <c r="V102" s="217">
        <f t="shared" si="22"/>
        <v>12250</v>
      </c>
      <c r="W102" s="216">
        <v>1690</v>
      </c>
      <c r="X102" s="218">
        <v>-60</v>
      </c>
      <c r="Y102" s="217">
        <f t="shared" si="23"/>
        <v>13520</v>
      </c>
    </row>
    <row r="103" spans="1:25" ht="15" customHeight="1">
      <c r="A103" s="178" t="s">
        <v>118</v>
      </c>
      <c r="B103" s="216">
        <v>2450</v>
      </c>
      <c r="C103" s="218">
        <v>0</v>
      </c>
      <c r="D103" s="217">
        <f t="shared" si="16"/>
        <v>2450</v>
      </c>
      <c r="E103" s="216">
        <v>3150</v>
      </c>
      <c r="F103" s="218">
        <v>700</v>
      </c>
      <c r="G103" s="217">
        <f t="shared" si="17"/>
        <v>6300</v>
      </c>
      <c r="H103" s="216">
        <v>2800</v>
      </c>
      <c r="I103" s="218">
        <v>-350</v>
      </c>
      <c r="J103" s="217">
        <f t="shared" si="18"/>
        <v>8400</v>
      </c>
      <c r="K103" s="216">
        <v>2100</v>
      </c>
      <c r="L103" s="218">
        <v>-700</v>
      </c>
      <c r="M103" s="217">
        <f t="shared" si="19"/>
        <v>8400</v>
      </c>
      <c r="N103" s="216">
        <v>2450</v>
      </c>
      <c r="O103" s="218">
        <v>350</v>
      </c>
      <c r="P103" s="217">
        <f t="shared" si="20"/>
        <v>12250</v>
      </c>
      <c r="Q103" s="216">
        <v>2800</v>
      </c>
      <c r="R103" s="218">
        <v>350</v>
      </c>
      <c r="S103" s="217">
        <f t="shared" si="21"/>
        <v>16800</v>
      </c>
      <c r="T103" s="216">
        <v>2800</v>
      </c>
      <c r="U103" s="218">
        <v>0</v>
      </c>
      <c r="V103" s="217">
        <f t="shared" si="22"/>
        <v>19600</v>
      </c>
      <c r="W103" s="216">
        <v>2450</v>
      </c>
      <c r="X103" s="218">
        <v>-350</v>
      </c>
      <c r="Y103" s="217">
        <f t="shared" si="23"/>
        <v>19600</v>
      </c>
    </row>
    <row r="104" spans="1:25" s="58" customFormat="1" ht="15" customHeight="1">
      <c r="A104" s="178" t="s">
        <v>119</v>
      </c>
      <c r="B104" s="216">
        <v>-800</v>
      </c>
      <c r="C104" s="218">
        <v>195.08</v>
      </c>
      <c r="D104" s="217">
        <f t="shared" si="16"/>
        <v>-800</v>
      </c>
      <c r="E104" s="216">
        <v>70</v>
      </c>
      <c r="F104" s="218">
        <v>870</v>
      </c>
      <c r="G104" s="217">
        <f t="shared" si="17"/>
        <v>140</v>
      </c>
      <c r="H104" s="216">
        <v>70</v>
      </c>
      <c r="I104" s="218">
        <v>0</v>
      </c>
      <c r="J104" s="217">
        <f t="shared" si="18"/>
        <v>210</v>
      </c>
      <c r="K104" s="216">
        <v>-863</v>
      </c>
      <c r="L104" s="218">
        <v>-933</v>
      </c>
      <c r="M104" s="217">
        <f t="shared" si="19"/>
        <v>-3452</v>
      </c>
      <c r="N104" s="216">
        <v>70</v>
      </c>
      <c r="O104" s="218">
        <v>933</v>
      </c>
      <c r="P104" s="217">
        <f t="shared" si="20"/>
        <v>350</v>
      </c>
      <c r="Q104" s="216">
        <v>70</v>
      </c>
      <c r="R104" s="218">
        <v>0</v>
      </c>
      <c r="S104" s="217">
        <f t="shared" si="21"/>
        <v>420</v>
      </c>
      <c r="T104" s="216">
        <v>70</v>
      </c>
      <c r="U104" s="218">
        <v>0</v>
      </c>
      <c r="V104" s="217">
        <f t="shared" si="22"/>
        <v>490</v>
      </c>
      <c r="W104" s="216">
        <v>70</v>
      </c>
      <c r="X104" s="218">
        <v>0</v>
      </c>
      <c r="Y104" s="217">
        <f t="shared" si="23"/>
        <v>560</v>
      </c>
    </row>
    <row r="105" spans="1:25" s="58" customFormat="1" ht="15" customHeight="1">
      <c r="A105" s="178" t="s">
        <v>142</v>
      </c>
      <c r="B105" s="219">
        <v>0</v>
      </c>
      <c r="C105" s="221">
        <v>-2000</v>
      </c>
      <c r="D105" s="220">
        <f t="shared" ref="D105:D131" si="24">+B105*$D$4</f>
        <v>0</v>
      </c>
      <c r="E105" s="219">
        <v>2000</v>
      </c>
      <c r="F105" s="221">
        <v>2000</v>
      </c>
      <c r="G105" s="220">
        <f t="shared" ref="G105:G131" si="25">+E105*$G$4</f>
        <v>4000</v>
      </c>
      <c r="H105" s="219">
        <v>1000</v>
      </c>
      <c r="I105" s="221">
        <v>-1000</v>
      </c>
      <c r="J105" s="220">
        <f t="shared" ref="J105:J131" si="26">+H105*$J$4</f>
        <v>3000</v>
      </c>
      <c r="K105" s="219">
        <v>3000</v>
      </c>
      <c r="L105" s="221">
        <v>2000</v>
      </c>
      <c r="M105" s="220">
        <f t="shared" ref="M105:M131" si="27">+K105*$M$4</f>
        <v>12000</v>
      </c>
      <c r="N105" s="219">
        <v>0</v>
      </c>
      <c r="O105" s="221">
        <v>-3000</v>
      </c>
      <c r="P105" s="220">
        <f t="shared" ref="P105:P131" si="28">+N105*$P$4</f>
        <v>0</v>
      </c>
      <c r="Q105" s="219">
        <v>1000</v>
      </c>
      <c r="R105" s="221">
        <v>1000</v>
      </c>
      <c r="S105" s="220">
        <f t="shared" ref="S105:S131" si="29">+Q105*$S$4</f>
        <v>6000</v>
      </c>
      <c r="T105" s="219">
        <v>0</v>
      </c>
      <c r="U105" s="221">
        <v>-1000</v>
      </c>
      <c r="V105" s="220">
        <f t="shared" ref="V105:V131" si="30">+T105*$V$4</f>
        <v>0</v>
      </c>
      <c r="W105" s="219">
        <v>3000</v>
      </c>
      <c r="X105" s="221">
        <v>3000</v>
      </c>
      <c r="Y105" s="220">
        <f t="shared" ref="Y105:Y131" si="31">+W105*$Y$4</f>
        <v>24000</v>
      </c>
    </row>
    <row r="106" spans="1:25" s="58" customFormat="1" ht="15" customHeight="1">
      <c r="A106" s="178" t="s">
        <v>115</v>
      </c>
      <c r="B106" s="222">
        <v>125185.24</v>
      </c>
      <c r="C106" s="224">
        <v>13183.08</v>
      </c>
      <c r="D106" s="223">
        <f t="shared" si="24"/>
        <v>125185.24</v>
      </c>
      <c r="E106" s="222">
        <v>131215.24</v>
      </c>
      <c r="F106" s="224">
        <v>6030</v>
      </c>
      <c r="G106" s="223">
        <f t="shared" si="25"/>
        <v>262430.48</v>
      </c>
      <c r="H106" s="222">
        <v>124610.24000000001</v>
      </c>
      <c r="I106" s="224">
        <v>-6605</v>
      </c>
      <c r="J106" s="223">
        <f t="shared" si="26"/>
        <v>373830.72000000003</v>
      </c>
      <c r="K106" s="222">
        <v>121992.24</v>
      </c>
      <c r="L106" s="224">
        <v>-2618</v>
      </c>
      <c r="M106" s="223">
        <f t="shared" si="27"/>
        <v>487968.96</v>
      </c>
      <c r="N106" s="222">
        <v>129325.24</v>
      </c>
      <c r="O106" s="224">
        <v>7333</v>
      </c>
      <c r="P106" s="223">
        <f t="shared" si="28"/>
        <v>646626.20000000007</v>
      </c>
      <c r="Q106" s="222">
        <v>139655.24</v>
      </c>
      <c r="R106" s="224">
        <v>10330</v>
      </c>
      <c r="S106" s="223">
        <f t="shared" si="29"/>
        <v>837931.44</v>
      </c>
      <c r="T106" s="222">
        <v>123242.24000000001</v>
      </c>
      <c r="U106" s="224">
        <v>-16413</v>
      </c>
      <c r="V106" s="223">
        <f t="shared" si="30"/>
        <v>862695.68</v>
      </c>
      <c r="W106" s="222">
        <v>120332.24</v>
      </c>
      <c r="X106" s="224">
        <v>-2910</v>
      </c>
      <c r="Y106" s="223">
        <f t="shared" si="31"/>
        <v>962657.92</v>
      </c>
    </row>
    <row r="107" spans="1:25" s="58" customFormat="1" ht="15" customHeight="1">
      <c r="A107" s="182"/>
      <c r="B107" s="225"/>
      <c r="C107" s="227"/>
      <c r="D107" s="226">
        <f t="shared" si="24"/>
        <v>0</v>
      </c>
      <c r="E107" s="225"/>
      <c r="F107" s="227"/>
      <c r="G107" s="226">
        <f t="shared" si="25"/>
        <v>0</v>
      </c>
      <c r="H107" s="225"/>
      <c r="I107" s="227"/>
      <c r="J107" s="226">
        <f t="shared" si="26"/>
        <v>0</v>
      </c>
      <c r="K107" s="225"/>
      <c r="L107" s="227"/>
      <c r="M107" s="226">
        <f t="shared" si="27"/>
        <v>0</v>
      </c>
      <c r="N107" s="225"/>
      <c r="O107" s="227"/>
      <c r="P107" s="226">
        <f t="shared" si="28"/>
        <v>0</v>
      </c>
      <c r="Q107" s="225"/>
      <c r="R107" s="227"/>
      <c r="S107" s="226">
        <f t="shared" si="29"/>
        <v>0</v>
      </c>
      <c r="T107" s="225"/>
      <c r="U107" s="227"/>
      <c r="V107" s="226">
        <f t="shared" si="30"/>
        <v>0</v>
      </c>
      <c r="W107" s="225"/>
      <c r="X107" s="227"/>
      <c r="Y107" s="226">
        <f t="shared" si="31"/>
        <v>0</v>
      </c>
    </row>
    <row r="108" spans="1:25" s="58" customFormat="1" ht="15" customHeight="1">
      <c r="A108" s="178" t="s">
        <v>120</v>
      </c>
      <c r="B108" s="216"/>
      <c r="C108" s="218"/>
      <c r="D108" s="217">
        <f t="shared" si="24"/>
        <v>0</v>
      </c>
      <c r="E108" s="216"/>
      <c r="F108" s="218"/>
      <c r="G108" s="217">
        <f t="shared" si="25"/>
        <v>0</v>
      </c>
      <c r="H108" s="216"/>
      <c r="I108" s="218"/>
      <c r="J108" s="217">
        <f t="shared" si="26"/>
        <v>0</v>
      </c>
      <c r="K108" s="216"/>
      <c r="L108" s="218"/>
      <c r="M108" s="217">
        <f t="shared" si="27"/>
        <v>0</v>
      </c>
      <c r="N108" s="216"/>
      <c r="O108" s="218"/>
      <c r="P108" s="217">
        <f t="shared" si="28"/>
        <v>0</v>
      </c>
      <c r="Q108" s="216"/>
      <c r="R108" s="218"/>
      <c r="S108" s="217">
        <f t="shared" si="29"/>
        <v>0</v>
      </c>
      <c r="T108" s="216"/>
      <c r="U108" s="218"/>
      <c r="V108" s="217">
        <f t="shared" si="30"/>
        <v>0</v>
      </c>
      <c r="W108" s="216"/>
      <c r="X108" s="218"/>
      <c r="Y108" s="217">
        <f t="shared" si="31"/>
        <v>0</v>
      </c>
    </row>
    <row r="109" spans="1:25" ht="15" customHeight="1">
      <c r="A109" s="178"/>
      <c r="B109" s="216">
        <v>19432.64</v>
      </c>
      <c r="C109" s="218">
        <v>19432.64</v>
      </c>
      <c r="D109" s="217">
        <f t="shared" si="24"/>
        <v>19432.64</v>
      </c>
      <c r="E109" s="216">
        <v>38865.279999999999</v>
      </c>
      <c r="F109" s="218">
        <v>19432.64</v>
      </c>
      <c r="G109" s="217">
        <f t="shared" si="25"/>
        <v>77730.559999999998</v>
      </c>
      <c r="H109" s="216">
        <v>58297.919999999998</v>
      </c>
      <c r="I109" s="218">
        <v>19432.64</v>
      </c>
      <c r="J109" s="217">
        <f t="shared" si="26"/>
        <v>174893.76</v>
      </c>
      <c r="K109" s="216">
        <v>0</v>
      </c>
      <c r="L109" s="218">
        <v>-58297.919999999998</v>
      </c>
      <c r="M109" s="217">
        <f t="shared" si="27"/>
        <v>0</v>
      </c>
      <c r="N109" s="216"/>
      <c r="O109" s="218"/>
      <c r="P109" s="217">
        <f t="shared" si="28"/>
        <v>0</v>
      </c>
      <c r="Q109" s="216"/>
      <c r="R109" s="218"/>
      <c r="S109" s="217">
        <f t="shared" si="29"/>
        <v>0</v>
      </c>
      <c r="T109" s="216"/>
      <c r="U109" s="218"/>
      <c r="V109" s="217">
        <f t="shared" si="30"/>
        <v>0</v>
      </c>
      <c r="W109" s="216"/>
      <c r="X109" s="218"/>
      <c r="Y109" s="217">
        <f t="shared" si="31"/>
        <v>0</v>
      </c>
    </row>
    <row r="110" spans="1:25" s="58" customFormat="1" ht="15" customHeight="1">
      <c r="A110" s="178" t="s">
        <v>121</v>
      </c>
      <c r="B110" s="216"/>
      <c r="C110" s="218"/>
      <c r="D110" s="217">
        <f t="shared" si="24"/>
        <v>0</v>
      </c>
      <c r="E110" s="216"/>
      <c r="F110" s="218"/>
      <c r="G110" s="217">
        <f t="shared" si="25"/>
        <v>0</v>
      </c>
      <c r="H110" s="216"/>
      <c r="I110" s="218"/>
      <c r="J110" s="217">
        <f t="shared" si="26"/>
        <v>0</v>
      </c>
      <c r="K110" s="216"/>
      <c r="L110" s="218"/>
      <c r="M110" s="217">
        <f t="shared" si="27"/>
        <v>0</v>
      </c>
      <c r="N110" s="216"/>
      <c r="O110" s="218"/>
      <c r="P110" s="217">
        <f t="shared" si="28"/>
        <v>0</v>
      </c>
      <c r="Q110" s="216"/>
      <c r="R110" s="218"/>
      <c r="S110" s="217">
        <f t="shared" si="29"/>
        <v>0</v>
      </c>
      <c r="T110" s="216">
        <v>19821.29</v>
      </c>
      <c r="U110" s="218">
        <v>19821.29</v>
      </c>
      <c r="V110" s="217">
        <f t="shared" si="30"/>
        <v>138749.03</v>
      </c>
      <c r="W110" s="216">
        <v>39642.58</v>
      </c>
      <c r="X110" s="218">
        <v>19821.29</v>
      </c>
      <c r="Y110" s="217">
        <f t="shared" si="31"/>
        <v>317140.64</v>
      </c>
    </row>
    <row r="111" spans="1:25" s="58" customFormat="1" ht="15" customHeight="1">
      <c r="A111" s="178" t="s">
        <v>122</v>
      </c>
      <c r="B111" s="219">
        <v>68067.73</v>
      </c>
      <c r="C111" s="221">
        <v>0</v>
      </c>
      <c r="D111" s="220">
        <f t="shared" si="24"/>
        <v>68067.73</v>
      </c>
      <c r="E111" s="219">
        <v>61480.53</v>
      </c>
      <c r="F111" s="221">
        <v>-6587.2</v>
      </c>
      <c r="G111" s="220">
        <f t="shared" si="25"/>
        <v>122961.06</v>
      </c>
      <c r="H111" s="219">
        <v>68067.73</v>
      </c>
      <c r="I111" s="221">
        <v>6587.2</v>
      </c>
      <c r="J111" s="220">
        <f t="shared" si="26"/>
        <v>204203.19</v>
      </c>
      <c r="K111" s="219">
        <v>65872</v>
      </c>
      <c r="L111" s="221">
        <v>-2195.73</v>
      </c>
      <c r="M111" s="220">
        <f t="shared" si="27"/>
        <v>263488</v>
      </c>
      <c r="N111" s="219">
        <v>68067.73</v>
      </c>
      <c r="O111" s="221">
        <v>2195.73</v>
      </c>
      <c r="P111" s="220">
        <f t="shared" si="28"/>
        <v>340338.64999999997</v>
      </c>
      <c r="Q111" s="219">
        <v>65872</v>
      </c>
      <c r="R111" s="221">
        <v>-2195.73</v>
      </c>
      <c r="S111" s="220">
        <f t="shared" si="29"/>
        <v>395232</v>
      </c>
      <c r="T111" s="219">
        <v>68067.73</v>
      </c>
      <c r="U111" s="221">
        <v>2195.73</v>
      </c>
      <c r="V111" s="220">
        <f t="shared" si="30"/>
        <v>476474.11</v>
      </c>
      <c r="W111" s="219">
        <v>68067.73</v>
      </c>
      <c r="X111" s="221">
        <v>0</v>
      </c>
      <c r="Y111" s="220">
        <f t="shared" si="31"/>
        <v>544541.84</v>
      </c>
    </row>
    <row r="112" spans="1:25" s="58" customFormat="1" ht="15" customHeight="1">
      <c r="A112" s="178" t="s">
        <v>120</v>
      </c>
      <c r="B112" s="228">
        <v>87500.37</v>
      </c>
      <c r="C112" s="230">
        <v>19432.64</v>
      </c>
      <c r="D112" s="229">
        <f t="shared" si="24"/>
        <v>87500.37</v>
      </c>
      <c r="E112" s="228">
        <v>100345.81</v>
      </c>
      <c r="F112" s="230">
        <v>12845.44</v>
      </c>
      <c r="G112" s="229">
        <f t="shared" si="25"/>
        <v>200691.62</v>
      </c>
      <c r="H112" s="228">
        <v>126365.65</v>
      </c>
      <c r="I112" s="230">
        <v>26019.84</v>
      </c>
      <c r="J112" s="229">
        <f t="shared" si="26"/>
        <v>379096.94999999995</v>
      </c>
      <c r="K112" s="228">
        <v>65872</v>
      </c>
      <c r="L112" s="230">
        <v>-60493.65</v>
      </c>
      <c r="M112" s="229">
        <f t="shared" si="27"/>
        <v>263488</v>
      </c>
      <c r="N112" s="228">
        <v>68067.73</v>
      </c>
      <c r="O112" s="230">
        <v>2195.73</v>
      </c>
      <c r="P112" s="229">
        <f t="shared" si="28"/>
        <v>340338.64999999997</v>
      </c>
      <c r="Q112" s="228">
        <v>65872</v>
      </c>
      <c r="R112" s="230">
        <v>-2195.73</v>
      </c>
      <c r="S112" s="229">
        <f t="shared" si="29"/>
        <v>395232</v>
      </c>
      <c r="T112" s="228">
        <v>87889.02</v>
      </c>
      <c r="U112" s="230">
        <v>22017.02</v>
      </c>
      <c r="V112" s="229">
        <f t="shared" si="30"/>
        <v>615223.14</v>
      </c>
      <c r="W112" s="228">
        <v>107710.31</v>
      </c>
      <c r="X112" s="230">
        <v>19821.29</v>
      </c>
      <c r="Y112" s="229">
        <f t="shared" si="31"/>
        <v>861682.48</v>
      </c>
    </row>
    <row r="113" spans="1:25" s="58" customFormat="1" ht="15" customHeight="1">
      <c r="A113" s="178" t="s">
        <v>123</v>
      </c>
      <c r="B113" s="222">
        <v>21803131.68</v>
      </c>
      <c r="C113" s="224">
        <v>46249.78</v>
      </c>
      <c r="D113" s="223">
        <f t="shared" si="24"/>
        <v>21803131.68</v>
      </c>
      <c r="E113" s="222">
        <v>21818889.84</v>
      </c>
      <c r="F113" s="224">
        <v>15758.16</v>
      </c>
      <c r="G113" s="223">
        <f t="shared" si="25"/>
        <v>43637779.68</v>
      </c>
      <c r="H113" s="222">
        <v>21805732.620000001</v>
      </c>
      <c r="I113" s="224">
        <v>-13157.22</v>
      </c>
      <c r="J113" s="223">
        <f t="shared" si="26"/>
        <v>65417197.859999999</v>
      </c>
      <c r="K113" s="222">
        <v>21758360.039999999</v>
      </c>
      <c r="L113" s="224">
        <v>-47372.58</v>
      </c>
      <c r="M113" s="223">
        <f t="shared" si="27"/>
        <v>87033440.159999996</v>
      </c>
      <c r="N113" s="222">
        <v>21763913.57</v>
      </c>
      <c r="O113" s="224">
        <v>5553.53</v>
      </c>
      <c r="P113" s="223">
        <f t="shared" si="28"/>
        <v>108819567.84999999</v>
      </c>
      <c r="Q113" s="222">
        <v>21759063.449999999</v>
      </c>
      <c r="R113" s="224">
        <v>-4850.12</v>
      </c>
      <c r="S113" s="223">
        <f t="shared" si="29"/>
        <v>130554380.69999999</v>
      </c>
      <c r="T113" s="222">
        <v>21789209.829999998</v>
      </c>
      <c r="U113" s="224">
        <v>30146.38</v>
      </c>
      <c r="V113" s="223">
        <f t="shared" si="30"/>
        <v>152524468.81</v>
      </c>
      <c r="W113" s="222">
        <v>21801101.649999999</v>
      </c>
      <c r="X113" s="224">
        <v>11891.82</v>
      </c>
      <c r="Y113" s="223">
        <f t="shared" si="31"/>
        <v>174408813.19999999</v>
      </c>
    </row>
    <row r="114" spans="1:25" s="58" customFormat="1" ht="15" customHeight="1">
      <c r="A114" s="182"/>
      <c r="B114" s="225"/>
      <c r="C114" s="227"/>
      <c r="D114" s="226">
        <f t="shared" si="24"/>
        <v>0</v>
      </c>
      <c r="E114" s="225"/>
      <c r="F114" s="227"/>
      <c r="G114" s="226">
        <f t="shared" si="25"/>
        <v>0</v>
      </c>
      <c r="H114" s="225"/>
      <c r="I114" s="227"/>
      <c r="J114" s="226">
        <f t="shared" si="26"/>
        <v>0</v>
      </c>
      <c r="K114" s="225"/>
      <c r="L114" s="227"/>
      <c r="M114" s="226">
        <f t="shared" si="27"/>
        <v>0</v>
      </c>
      <c r="N114" s="225"/>
      <c r="O114" s="227"/>
      <c r="P114" s="226">
        <f t="shared" si="28"/>
        <v>0</v>
      </c>
      <c r="Q114" s="225"/>
      <c r="R114" s="227"/>
      <c r="S114" s="226">
        <f t="shared" si="29"/>
        <v>0</v>
      </c>
      <c r="T114" s="225"/>
      <c r="U114" s="227"/>
      <c r="V114" s="226">
        <f t="shared" si="30"/>
        <v>0</v>
      </c>
      <c r="W114" s="225"/>
      <c r="X114" s="227"/>
      <c r="Y114" s="226">
        <f t="shared" si="31"/>
        <v>0</v>
      </c>
    </row>
    <row r="115" spans="1:25" ht="15" customHeight="1">
      <c r="A115" s="178" t="s">
        <v>124</v>
      </c>
      <c r="B115" s="216"/>
      <c r="C115" s="218"/>
      <c r="D115" s="217">
        <f t="shared" si="24"/>
        <v>0</v>
      </c>
      <c r="E115" s="216"/>
      <c r="F115" s="218"/>
      <c r="G115" s="217">
        <f t="shared" si="25"/>
        <v>0</v>
      </c>
      <c r="H115" s="216"/>
      <c r="I115" s="218"/>
      <c r="J115" s="217">
        <f t="shared" si="26"/>
        <v>0</v>
      </c>
      <c r="K115" s="216"/>
      <c r="L115" s="218"/>
      <c r="M115" s="217">
        <f t="shared" si="27"/>
        <v>0</v>
      </c>
      <c r="N115" s="216"/>
      <c r="O115" s="218"/>
      <c r="P115" s="217">
        <f t="shared" si="28"/>
        <v>0</v>
      </c>
      <c r="Q115" s="216"/>
      <c r="R115" s="218"/>
      <c r="S115" s="217">
        <f t="shared" si="29"/>
        <v>0</v>
      </c>
      <c r="T115" s="216"/>
      <c r="U115" s="218"/>
      <c r="V115" s="217">
        <f t="shared" si="30"/>
        <v>0</v>
      </c>
      <c r="W115" s="216"/>
      <c r="X115" s="218"/>
      <c r="Y115" s="217">
        <f t="shared" si="31"/>
        <v>0</v>
      </c>
    </row>
    <row r="116" spans="1:25" s="58" customFormat="1" ht="15" customHeight="1">
      <c r="A116" s="178" t="s">
        <v>125</v>
      </c>
      <c r="B116" s="216"/>
      <c r="C116" s="218"/>
      <c r="D116" s="217">
        <f t="shared" si="24"/>
        <v>0</v>
      </c>
      <c r="E116" s="216"/>
      <c r="F116" s="218"/>
      <c r="G116" s="217">
        <f t="shared" si="25"/>
        <v>0</v>
      </c>
      <c r="H116" s="216"/>
      <c r="I116" s="218"/>
      <c r="J116" s="217">
        <f t="shared" si="26"/>
        <v>0</v>
      </c>
      <c r="K116" s="216"/>
      <c r="L116" s="218"/>
      <c r="M116" s="217">
        <f t="shared" si="27"/>
        <v>0</v>
      </c>
      <c r="N116" s="216"/>
      <c r="O116" s="218"/>
      <c r="P116" s="217">
        <f t="shared" si="28"/>
        <v>0</v>
      </c>
      <c r="Q116" s="216"/>
      <c r="R116" s="218"/>
      <c r="S116" s="217">
        <f t="shared" si="29"/>
        <v>0</v>
      </c>
      <c r="T116" s="216"/>
      <c r="U116" s="218"/>
      <c r="V116" s="217">
        <f t="shared" si="30"/>
        <v>0</v>
      </c>
      <c r="W116" s="216"/>
      <c r="X116" s="218"/>
      <c r="Y116" s="217">
        <f t="shared" si="31"/>
        <v>0</v>
      </c>
    </row>
    <row r="117" spans="1:25" s="58" customFormat="1" ht="15" customHeight="1">
      <c r="A117" s="178" t="s">
        <v>456</v>
      </c>
      <c r="B117" s="216">
        <v>275143</v>
      </c>
      <c r="C117" s="218">
        <v>0</v>
      </c>
      <c r="D117" s="217">
        <f t="shared" si="24"/>
        <v>275143</v>
      </c>
      <c r="E117" s="216">
        <v>275143</v>
      </c>
      <c r="F117" s="218">
        <v>0</v>
      </c>
      <c r="G117" s="217">
        <f t="shared" si="25"/>
        <v>550286</v>
      </c>
      <c r="H117" s="216">
        <v>275143</v>
      </c>
      <c r="I117" s="218">
        <v>0</v>
      </c>
      <c r="J117" s="217">
        <f t="shared" si="26"/>
        <v>825429</v>
      </c>
      <c r="K117" s="216">
        <v>275143</v>
      </c>
      <c r="L117" s="218">
        <v>0</v>
      </c>
      <c r="M117" s="217">
        <f t="shared" si="27"/>
        <v>1100572</v>
      </c>
      <c r="N117" s="216">
        <v>275143</v>
      </c>
      <c r="O117" s="218">
        <v>0</v>
      </c>
      <c r="P117" s="217">
        <f t="shared" si="28"/>
        <v>1375715</v>
      </c>
      <c r="Q117" s="216">
        <v>275143</v>
      </c>
      <c r="R117" s="218">
        <v>0</v>
      </c>
      <c r="S117" s="217">
        <f t="shared" si="29"/>
        <v>1650858</v>
      </c>
      <c r="T117" s="216">
        <v>275143</v>
      </c>
      <c r="U117" s="218">
        <v>0</v>
      </c>
      <c r="V117" s="217">
        <f t="shared" si="30"/>
        <v>1926001</v>
      </c>
      <c r="W117" s="216">
        <v>275143</v>
      </c>
      <c r="X117" s="218">
        <v>0</v>
      </c>
      <c r="Y117" s="217">
        <f t="shared" si="31"/>
        <v>2201144</v>
      </c>
    </row>
    <row r="118" spans="1:25" s="58" customFormat="1" ht="15" customHeight="1">
      <c r="A118" s="178" t="s">
        <v>455</v>
      </c>
      <c r="B118" s="219">
        <v>2476286</v>
      </c>
      <c r="C118" s="221">
        <v>0</v>
      </c>
      <c r="D118" s="220">
        <f t="shared" si="24"/>
        <v>2476286</v>
      </c>
      <c r="E118" s="219">
        <v>2476286</v>
      </c>
      <c r="F118" s="221">
        <v>0</v>
      </c>
      <c r="G118" s="220">
        <f t="shared" si="25"/>
        <v>4952572</v>
      </c>
      <c r="H118" s="219">
        <v>2476286</v>
      </c>
      <c r="I118" s="221">
        <v>0</v>
      </c>
      <c r="J118" s="220">
        <f t="shared" si="26"/>
        <v>7428858</v>
      </c>
      <c r="K118" s="219">
        <v>2476286</v>
      </c>
      <c r="L118" s="221">
        <v>0</v>
      </c>
      <c r="M118" s="220">
        <f t="shared" si="27"/>
        <v>9905144</v>
      </c>
      <c r="N118" s="219">
        <v>2476286</v>
      </c>
      <c r="O118" s="221">
        <v>0</v>
      </c>
      <c r="P118" s="220">
        <f t="shared" si="28"/>
        <v>12381430</v>
      </c>
      <c r="Q118" s="219">
        <v>2476286</v>
      </c>
      <c r="R118" s="221">
        <v>0</v>
      </c>
      <c r="S118" s="220">
        <f t="shared" si="29"/>
        <v>14857716</v>
      </c>
      <c r="T118" s="219">
        <v>2476286</v>
      </c>
      <c r="U118" s="221">
        <v>0</v>
      </c>
      <c r="V118" s="220">
        <f t="shared" si="30"/>
        <v>17334002</v>
      </c>
      <c r="W118" s="219">
        <v>2476286</v>
      </c>
      <c r="X118" s="221">
        <v>0</v>
      </c>
      <c r="Y118" s="220">
        <f t="shared" si="31"/>
        <v>19810288</v>
      </c>
    </row>
    <row r="119" spans="1:25" s="58" customFormat="1" ht="15" customHeight="1">
      <c r="A119" s="178" t="s">
        <v>125</v>
      </c>
      <c r="B119" s="222">
        <v>2751429</v>
      </c>
      <c r="C119" s="224">
        <v>0</v>
      </c>
      <c r="D119" s="223">
        <f t="shared" si="24"/>
        <v>2751429</v>
      </c>
      <c r="E119" s="222">
        <v>2751429</v>
      </c>
      <c r="F119" s="224">
        <v>0</v>
      </c>
      <c r="G119" s="223">
        <f t="shared" si="25"/>
        <v>5502858</v>
      </c>
      <c r="H119" s="222">
        <v>2751429</v>
      </c>
      <c r="I119" s="224">
        <v>0</v>
      </c>
      <c r="J119" s="223">
        <f t="shared" si="26"/>
        <v>8254287</v>
      </c>
      <c r="K119" s="222">
        <v>2751429</v>
      </c>
      <c r="L119" s="224">
        <v>0</v>
      </c>
      <c r="M119" s="223">
        <f t="shared" si="27"/>
        <v>11005716</v>
      </c>
      <c r="N119" s="222">
        <v>2751429</v>
      </c>
      <c r="O119" s="224">
        <v>0</v>
      </c>
      <c r="P119" s="223">
        <f t="shared" si="28"/>
        <v>13757145</v>
      </c>
      <c r="Q119" s="222">
        <v>2751429</v>
      </c>
      <c r="R119" s="224">
        <v>0</v>
      </c>
      <c r="S119" s="223">
        <f t="shared" si="29"/>
        <v>16508574</v>
      </c>
      <c r="T119" s="222">
        <v>2751429</v>
      </c>
      <c r="U119" s="224">
        <v>0</v>
      </c>
      <c r="V119" s="223">
        <f t="shared" si="30"/>
        <v>19260003</v>
      </c>
      <c r="W119" s="222">
        <v>2751429</v>
      </c>
      <c r="X119" s="224">
        <v>0</v>
      </c>
      <c r="Y119" s="223">
        <f t="shared" si="31"/>
        <v>22011432</v>
      </c>
    </row>
    <row r="120" spans="1:25" ht="15" customHeight="1">
      <c r="A120" s="182"/>
      <c r="B120" s="225"/>
      <c r="C120" s="227"/>
      <c r="D120" s="226">
        <f t="shared" si="24"/>
        <v>0</v>
      </c>
      <c r="E120" s="225"/>
      <c r="F120" s="227"/>
      <c r="G120" s="226">
        <f t="shared" si="25"/>
        <v>0</v>
      </c>
      <c r="H120" s="225"/>
      <c r="I120" s="227"/>
      <c r="J120" s="226">
        <f t="shared" si="26"/>
        <v>0</v>
      </c>
      <c r="K120" s="225"/>
      <c r="L120" s="227"/>
      <c r="M120" s="226">
        <f t="shared" si="27"/>
        <v>0</v>
      </c>
      <c r="N120" s="225"/>
      <c r="O120" s="227"/>
      <c r="P120" s="226">
        <f t="shared" si="28"/>
        <v>0</v>
      </c>
      <c r="Q120" s="225"/>
      <c r="R120" s="227"/>
      <c r="S120" s="226">
        <f t="shared" si="29"/>
        <v>0</v>
      </c>
      <c r="T120" s="225"/>
      <c r="U120" s="227"/>
      <c r="V120" s="226">
        <f t="shared" si="30"/>
        <v>0</v>
      </c>
      <c r="W120" s="225"/>
      <c r="X120" s="227"/>
      <c r="Y120" s="226">
        <f t="shared" si="31"/>
        <v>0</v>
      </c>
    </row>
    <row r="121" spans="1:25" s="58" customFormat="1" ht="15" customHeight="1">
      <c r="A121" s="178" t="s">
        <v>126</v>
      </c>
      <c r="B121" s="216"/>
      <c r="C121" s="218"/>
      <c r="D121" s="217">
        <f t="shared" si="24"/>
        <v>0</v>
      </c>
      <c r="E121" s="216"/>
      <c r="F121" s="218"/>
      <c r="G121" s="217">
        <f t="shared" si="25"/>
        <v>0</v>
      </c>
      <c r="H121" s="216"/>
      <c r="I121" s="218"/>
      <c r="J121" s="217">
        <f t="shared" si="26"/>
        <v>0</v>
      </c>
      <c r="K121" s="216"/>
      <c r="L121" s="218"/>
      <c r="M121" s="217">
        <f t="shared" si="27"/>
        <v>0</v>
      </c>
      <c r="N121" s="216"/>
      <c r="O121" s="218"/>
      <c r="P121" s="217">
        <f t="shared" si="28"/>
        <v>0</v>
      </c>
      <c r="Q121" s="216"/>
      <c r="R121" s="218"/>
      <c r="S121" s="217">
        <f t="shared" si="29"/>
        <v>0</v>
      </c>
      <c r="T121" s="216"/>
      <c r="U121" s="218"/>
      <c r="V121" s="217">
        <f t="shared" si="30"/>
        <v>0</v>
      </c>
      <c r="W121" s="216"/>
      <c r="X121" s="218"/>
      <c r="Y121" s="217">
        <f t="shared" si="31"/>
        <v>0</v>
      </c>
    </row>
    <row r="122" spans="1:25" s="58" customFormat="1" ht="15" customHeight="1">
      <c r="A122" s="178" t="s">
        <v>453</v>
      </c>
      <c r="B122" s="216">
        <v>-3770915.89</v>
      </c>
      <c r="C122" s="218">
        <v>-27209.1</v>
      </c>
      <c r="D122" s="217">
        <f t="shared" si="24"/>
        <v>-3770915.89</v>
      </c>
      <c r="E122" s="216">
        <v>-3831821.03</v>
      </c>
      <c r="F122" s="218">
        <v>-60905.14</v>
      </c>
      <c r="G122" s="217">
        <f t="shared" si="25"/>
        <v>-7663642.0599999996</v>
      </c>
      <c r="H122" s="216">
        <v>-3861044.29</v>
      </c>
      <c r="I122" s="218">
        <v>-29223.26</v>
      </c>
      <c r="J122" s="217">
        <f t="shared" si="26"/>
        <v>-11583132.870000001</v>
      </c>
      <c r="K122" s="216">
        <v>-3877470.45</v>
      </c>
      <c r="L122" s="218">
        <v>-16426.16</v>
      </c>
      <c r="M122" s="217">
        <f t="shared" si="27"/>
        <v>-15509881.800000001</v>
      </c>
      <c r="N122" s="216">
        <v>-3923679.75</v>
      </c>
      <c r="O122" s="218">
        <v>-46209.3</v>
      </c>
      <c r="P122" s="217">
        <f t="shared" si="28"/>
        <v>-19618398.75</v>
      </c>
      <c r="Q122" s="216">
        <v>-3955217.64</v>
      </c>
      <c r="R122" s="218">
        <v>-31537.89</v>
      </c>
      <c r="S122" s="217">
        <f t="shared" si="29"/>
        <v>-23731305.84</v>
      </c>
      <c r="T122" s="216">
        <v>-3992043.25</v>
      </c>
      <c r="U122" s="218">
        <v>-36825.61</v>
      </c>
      <c r="V122" s="217">
        <f t="shared" si="30"/>
        <v>-27944302.75</v>
      </c>
      <c r="W122" s="216">
        <v>-4054677.16</v>
      </c>
      <c r="X122" s="218">
        <v>-62633.91</v>
      </c>
      <c r="Y122" s="217">
        <f t="shared" si="31"/>
        <v>-32437417.280000001</v>
      </c>
    </row>
    <row r="123" spans="1:25" s="58" customFormat="1" ht="15" customHeight="1">
      <c r="A123" s="178" t="s">
        <v>454</v>
      </c>
      <c r="B123" s="219">
        <v>-5333106.54</v>
      </c>
      <c r="C123" s="221">
        <v>-16743.89</v>
      </c>
      <c r="D123" s="220">
        <f t="shared" si="24"/>
        <v>-5333106.54</v>
      </c>
      <c r="E123" s="219">
        <v>-5370586.2400000002</v>
      </c>
      <c r="F123" s="221">
        <v>-37479.699999999997</v>
      </c>
      <c r="G123" s="220">
        <f t="shared" si="25"/>
        <v>-10741172.48</v>
      </c>
      <c r="H123" s="219">
        <v>-5388569.6100000003</v>
      </c>
      <c r="I123" s="221">
        <v>-17983.37</v>
      </c>
      <c r="J123" s="220">
        <f t="shared" si="26"/>
        <v>-16165708.830000002</v>
      </c>
      <c r="K123" s="219">
        <v>-5398677.9199999999</v>
      </c>
      <c r="L123" s="221">
        <v>-10108.31</v>
      </c>
      <c r="M123" s="220">
        <f t="shared" si="27"/>
        <v>-21594711.68</v>
      </c>
      <c r="N123" s="219">
        <v>-5427114.1200000001</v>
      </c>
      <c r="O123" s="221">
        <v>-28436.2</v>
      </c>
      <c r="P123" s="220">
        <f t="shared" si="28"/>
        <v>-27135570.600000001</v>
      </c>
      <c r="Q123" s="219">
        <v>-5446521.8600000003</v>
      </c>
      <c r="R123" s="221">
        <v>-19407.740000000002</v>
      </c>
      <c r="S123" s="220">
        <f t="shared" si="29"/>
        <v>-32679131.160000004</v>
      </c>
      <c r="T123" s="219">
        <v>-5469183.54</v>
      </c>
      <c r="U123" s="221">
        <v>-22661.68</v>
      </c>
      <c r="V123" s="220">
        <f t="shared" si="30"/>
        <v>-38284284.780000001</v>
      </c>
      <c r="W123" s="219">
        <v>-5507727.0999999996</v>
      </c>
      <c r="X123" s="221">
        <v>-38543.56</v>
      </c>
      <c r="Y123" s="220">
        <f t="shared" si="31"/>
        <v>-44061816.799999997</v>
      </c>
    </row>
    <row r="124" spans="1:25" s="58" customFormat="1" ht="15" customHeight="1">
      <c r="A124" s="178" t="s">
        <v>126</v>
      </c>
      <c r="B124" s="222">
        <v>-9104022.4299999997</v>
      </c>
      <c r="C124" s="224">
        <v>-43952.99</v>
      </c>
      <c r="D124" s="223">
        <f t="shared" si="24"/>
        <v>-9104022.4299999997</v>
      </c>
      <c r="E124" s="222">
        <v>-9202407.2699999996</v>
      </c>
      <c r="F124" s="224">
        <v>-98384.84</v>
      </c>
      <c r="G124" s="223">
        <f t="shared" si="25"/>
        <v>-18404814.539999999</v>
      </c>
      <c r="H124" s="222">
        <v>-9249613.9000000004</v>
      </c>
      <c r="I124" s="224">
        <v>-47206.63</v>
      </c>
      <c r="J124" s="223">
        <f t="shared" si="26"/>
        <v>-27748841.700000003</v>
      </c>
      <c r="K124" s="222">
        <v>-9276148.3699999992</v>
      </c>
      <c r="L124" s="224">
        <v>-26534.47</v>
      </c>
      <c r="M124" s="223">
        <f t="shared" si="27"/>
        <v>-37104593.479999997</v>
      </c>
      <c r="N124" s="222">
        <v>-9350793.8699999992</v>
      </c>
      <c r="O124" s="224">
        <v>-74645.5</v>
      </c>
      <c r="P124" s="223">
        <f t="shared" si="28"/>
        <v>-46753969.349999994</v>
      </c>
      <c r="Q124" s="222">
        <v>-9401739.5</v>
      </c>
      <c r="R124" s="224">
        <v>-50945.63</v>
      </c>
      <c r="S124" s="223">
        <f t="shared" si="29"/>
        <v>-56410437</v>
      </c>
      <c r="T124" s="222">
        <v>-9461226.7899999991</v>
      </c>
      <c r="U124" s="224">
        <v>-59487.29</v>
      </c>
      <c r="V124" s="223">
        <f t="shared" si="30"/>
        <v>-66228587.529999994</v>
      </c>
      <c r="W124" s="222">
        <v>-9562404.2599999998</v>
      </c>
      <c r="X124" s="224">
        <v>-101177.47</v>
      </c>
      <c r="Y124" s="223">
        <f t="shared" si="31"/>
        <v>-76499234.079999998</v>
      </c>
    </row>
    <row r="125" spans="1:25" s="58" customFormat="1" ht="15" customHeight="1">
      <c r="A125" s="182"/>
      <c r="B125" s="225"/>
      <c r="C125" s="227"/>
      <c r="D125" s="226">
        <f t="shared" si="24"/>
        <v>0</v>
      </c>
      <c r="E125" s="225"/>
      <c r="F125" s="227"/>
      <c r="G125" s="226">
        <f t="shared" si="25"/>
        <v>0</v>
      </c>
      <c r="H125" s="225"/>
      <c r="I125" s="227"/>
      <c r="J125" s="226">
        <f t="shared" si="26"/>
        <v>0</v>
      </c>
      <c r="K125" s="225"/>
      <c r="L125" s="227"/>
      <c r="M125" s="226">
        <f t="shared" si="27"/>
        <v>0</v>
      </c>
      <c r="N125" s="225"/>
      <c r="O125" s="227"/>
      <c r="P125" s="226">
        <f t="shared" si="28"/>
        <v>0</v>
      </c>
      <c r="Q125" s="225"/>
      <c r="R125" s="227"/>
      <c r="S125" s="226">
        <f t="shared" si="29"/>
        <v>0</v>
      </c>
      <c r="T125" s="225"/>
      <c r="U125" s="227"/>
      <c r="V125" s="226">
        <f t="shared" si="30"/>
        <v>0</v>
      </c>
      <c r="W125" s="225"/>
      <c r="X125" s="227"/>
      <c r="Y125" s="226">
        <f t="shared" si="31"/>
        <v>0</v>
      </c>
    </row>
    <row r="126" spans="1:25" s="58" customFormat="1" ht="15" customHeight="1">
      <c r="A126" s="178" t="s">
        <v>127</v>
      </c>
      <c r="B126" s="216"/>
      <c r="C126" s="218"/>
      <c r="D126" s="217">
        <f t="shared" si="24"/>
        <v>0</v>
      </c>
      <c r="E126" s="216"/>
      <c r="F126" s="218"/>
      <c r="G126" s="217">
        <f t="shared" si="25"/>
        <v>0</v>
      </c>
      <c r="H126" s="216"/>
      <c r="I126" s="218"/>
      <c r="J126" s="217">
        <f t="shared" si="26"/>
        <v>0</v>
      </c>
      <c r="K126" s="216"/>
      <c r="L126" s="218"/>
      <c r="M126" s="217">
        <f t="shared" si="27"/>
        <v>0</v>
      </c>
      <c r="N126" s="216"/>
      <c r="O126" s="218"/>
      <c r="P126" s="217">
        <f t="shared" si="28"/>
        <v>0</v>
      </c>
      <c r="Q126" s="216"/>
      <c r="R126" s="218"/>
      <c r="S126" s="217">
        <f t="shared" si="29"/>
        <v>0</v>
      </c>
      <c r="T126" s="216"/>
      <c r="U126" s="218"/>
      <c r="V126" s="217">
        <f t="shared" si="30"/>
        <v>0</v>
      </c>
      <c r="W126" s="216"/>
      <c r="X126" s="218"/>
      <c r="Y126" s="217">
        <f t="shared" si="31"/>
        <v>0</v>
      </c>
    </row>
    <row r="127" spans="1:25">
      <c r="A127" s="178" t="s">
        <v>128</v>
      </c>
      <c r="B127" s="216">
        <v>941961.85</v>
      </c>
      <c r="C127" s="218">
        <v>84700.23</v>
      </c>
      <c r="D127" s="217">
        <f t="shared" si="24"/>
        <v>941961.85</v>
      </c>
      <c r="E127" s="216">
        <v>1023123.04</v>
      </c>
      <c r="F127" s="218">
        <v>81161.19</v>
      </c>
      <c r="G127" s="217">
        <f t="shared" si="25"/>
        <v>2046246.08</v>
      </c>
      <c r="H127" s="216">
        <v>1098123.8899999999</v>
      </c>
      <c r="I127" s="218">
        <v>75000.850000000006</v>
      </c>
      <c r="J127" s="217">
        <f t="shared" si="26"/>
        <v>3294371.67</v>
      </c>
      <c r="K127" s="216">
        <v>1165536.8500000001</v>
      </c>
      <c r="L127" s="218">
        <v>67412.960000000006</v>
      </c>
      <c r="M127" s="217">
        <f t="shared" si="27"/>
        <v>4662147.4000000004</v>
      </c>
      <c r="N127" s="216">
        <v>1234194.25</v>
      </c>
      <c r="O127" s="218">
        <v>68657.399999999994</v>
      </c>
      <c r="P127" s="217">
        <f t="shared" si="28"/>
        <v>6170971.25</v>
      </c>
      <c r="Q127" s="216">
        <v>1303153.75</v>
      </c>
      <c r="R127" s="218">
        <v>68959.5</v>
      </c>
      <c r="S127" s="217">
        <f t="shared" si="29"/>
        <v>7818922.5</v>
      </c>
      <c r="T127" s="216">
        <v>1374532.34</v>
      </c>
      <c r="U127" s="218">
        <v>71378.59</v>
      </c>
      <c r="V127" s="217">
        <f t="shared" si="30"/>
        <v>9621726.3800000008</v>
      </c>
      <c r="W127" s="216">
        <v>1435501.01</v>
      </c>
      <c r="X127" s="218">
        <v>60968.67</v>
      </c>
      <c r="Y127" s="217">
        <f t="shared" si="31"/>
        <v>11484008.08</v>
      </c>
    </row>
    <row r="128" spans="1:25">
      <c r="A128" s="178" t="s">
        <v>129</v>
      </c>
      <c r="B128" s="219">
        <v>59074.65</v>
      </c>
      <c r="C128" s="221">
        <v>0</v>
      </c>
      <c r="D128" s="220">
        <f t="shared" si="24"/>
        <v>59074.65</v>
      </c>
      <c r="E128" s="219">
        <v>59074.65</v>
      </c>
      <c r="F128" s="221">
        <v>0</v>
      </c>
      <c r="G128" s="220">
        <f t="shared" si="25"/>
        <v>118149.3</v>
      </c>
      <c r="H128" s="219">
        <v>59074.65</v>
      </c>
      <c r="I128" s="221">
        <v>0</v>
      </c>
      <c r="J128" s="220">
        <f t="shared" si="26"/>
        <v>177223.95</v>
      </c>
      <c r="K128" s="219">
        <v>59074.65</v>
      </c>
      <c r="L128" s="221">
        <v>0</v>
      </c>
      <c r="M128" s="220">
        <f t="shared" si="27"/>
        <v>236298.6</v>
      </c>
      <c r="N128" s="219">
        <v>59074.65</v>
      </c>
      <c r="O128" s="221">
        <v>0</v>
      </c>
      <c r="P128" s="220">
        <f t="shared" si="28"/>
        <v>295373.25</v>
      </c>
      <c r="Q128" s="219">
        <v>59074.65</v>
      </c>
      <c r="R128" s="221">
        <v>0</v>
      </c>
      <c r="S128" s="220">
        <f t="shared" si="29"/>
        <v>354447.9</v>
      </c>
      <c r="T128" s="219">
        <v>59074.65</v>
      </c>
      <c r="U128" s="221">
        <v>0</v>
      </c>
      <c r="V128" s="220">
        <f t="shared" si="30"/>
        <v>413522.55</v>
      </c>
      <c r="W128" s="219">
        <v>59074.65</v>
      </c>
      <c r="X128" s="221">
        <v>0</v>
      </c>
      <c r="Y128" s="220">
        <f t="shared" si="31"/>
        <v>472597.2</v>
      </c>
    </row>
    <row r="129" spans="1:25">
      <c r="A129" s="178" t="s">
        <v>127</v>
      </c>
      <c r="B129" s="228">
        <v>1001036.5</v>
      </c>
      <c r="C129" s="230">
        <v>84700.23</v>
      </c>
      <c r="D129" s="229">
        <f t="shared" si="24"/>
        <v>1001036.5</v>
      </c>
      <c r="E129" s="228">
        <v>1082197.69</v>
      </c>
      <c r="F129" s="230">
        <v>81161.19</v>
      </c>
      <c r="G129" s="229">
        <f t="shared" si="25"/>
        <v>2164395.38</v>
      </c>
      <c r="H129" s="228">
        <v>1157198.54</v>
      </c>
      <c r="I129" s="230">
        <v>75000.850000000006</v>
      </c>
      <c r="J129" s="229">
        <f t="shared" si="26"/>
        <v>3471595.62</v>
      </c>
      <c r="K129" s="228">
        <v>1224611.5</v>
      </c>
      <c r="L129" s="230">
        <v>67412.960000000006</v>
      </c>
      <c r="M129" s="229">
        <f t="shared" si="27"/>
        <v>4898446</v>
      </c>
      <c r="N129" s="228">
        <v>1293268.8999999999</v>
      </c>
      <c r="O129" s="230">
        <v>68657.399999999994</v>
      </c>
      <c r="P129" s="229">
        <f t="shared" si="28"/>
        <v>6466344.5</v>
      </c>
      <c r="Q129" s="228">
        <v>1362228.4</v>
      </c>
      <c r="R129" s="230">
        <v>68959.5</v>
      </c>
      <c r="S129" s="229">
        <f t="shared" si="29"/>
        <v>8173370.3999999994</v>
      </c>
      <c r="T129" s="228">
        <v>1433606.99</v>
      </c>
      <c r="U129" s="230">
        <v>71378.59</v>
      </c>
      <c r="V129" s="229">
        <f t="shared" si="30"/>
        <v>10035248.93</v>
      </c>
      <c r="W129" s="228">
        <v>1494575.66</v>
      </c>
      <c r="X129" s="230">
        <v>60968.67</v>
      </c>
      <c r="Y129" s="229">
        <f t="shared" si="31"/>
        <v>11956605.279999999</v>
      </c>
    </row>
    <row r="130" spans="1:25" ht="13.5" thickBot="1">
      <c r="A130" s="178" t="s">
        <v>130</v>
      </c>
      <c r="B130" s="228">
        <v>-5351556.93</v>
      </c>
      <c r="C130" s="230">
        <v>40747.24</v>
      </c>
      <c r="D130" s="229">
        <f t="shared" si="24"/>
        <v>-5351556.93</v>
      </c>
      <c r="E130" s="228">
        <v>-5368780.5800000001</v>
      </c>
      <c r="F130" s="230">
        <v>-17223.650000000001</v>
      </c>
      <c r="G130" s="229">
        <f t="shared" si="25"/>
        <v>-10737561.16</v>
      </c>
      <c r="H130" s="228">
        <v>-5340986.3600000003</v>
      </c>
      <c r="I130" s="230">
        <v>27794.22</v>
      </c>
      <c r="J130" s="229">
        <f t="shared" si="26"/>
        <v>-16022959.080000002</v>
      </c>
      <c r="K130" s="228">
        <v>-5300107.87</v>
      </c>
      <c r="L130" s="230">
        <v>40878.49</v>
      </c>
      <c r="M130" s="229">
        <f t="shared" si="27"/>
        <v>-21200431.48</v>
      </c>
      <c r="N130" s="228">
        <v>-5306095.97</v>
      </c>
      <c r="O130" s="230">
        <v>-5988.1</v>
      </c>
      <c r="P130" s="229">
        <f t="shared" si="28"/>
        <v>-26530479.849999998</v>
      </c>
      <c r="Q130" s="228">
        <v>-5288082.0999999996</v>
      </c>
      <c r="R130" s="230">
        <v>18013.87</v>
      </c>
      <c r="S130" s="229">
        <f t="shared" si="29"/>
        <v>-31728492.599999998</v>
      </c>
      <c r="T130" s="228">
        <v>-5276190.8</v>
      </c>
      <c r="U130" s="230">
        <v>11891.3</v>
      </c>
      <c r="V130" s="229">
        <f t="shared" si="30"/>
        <v>-36933335.600000001</v>
      </c>
      <c r="W130" s="228">
        <v>-5316399.5999999996</v>
      </c>
      <c r="X130" s="230">
        <v>-40208.800000000003</v>
      </c>
      <c r="Y130" s="229">
        <f t="shared" si="31"/>
        <v>-42531196.799999997</v>
      </c>
    </row>
    <row r="131" spans="1:25" ht="13.5" thickBot="1">
      <c r="A131" s="235" t="s">
        <v>131</v>
      </c>
      <c r="B131" s="236">
        <v>16451574.75</v>
      </c>
      <c r="C131" s="237">
        <v>86997.02</v>
      </c>
      <c r="D131" s="238">
        <f t="shared" si="24"/>
        <v>16451574.75</v>
      </c>
      <c r="E131" s="236">
        <v>16450109.26</v>
      </c>
      <c r="F131" s="237">
        <v>-1465.49</v>
      </c>
      <c r="G131" s="238">
        <f t="shared" si="25"/>
        <v>32900218.52</v>
      </c>
      <c r="H131" s="236">
        <v>16464746.26</v>
      </c>
      <c r="I131" s="237">
        <v>14637</v>
      </c>
      <c r="J131" s="238">
        <f t="shared" si="26"/>
        <v>49394238.780000001</v>
      </c>
      <c r="K131" s="236">
        <v>16458252.17</v>
      </c>
      <c r="L131" s="237">
        <v>-6494.09</v>
      </c>
      <c r="M131" s="238">
        <f t="shared" si="27"/>
        <v>65833008.68</v>
      </c>
      <c r="N131" s="236">
        <v>16457817.6</v>
      </c>
      <c r="O131" s="237">
        <v>-434.57</v>
      </c>
      <c r="P131" s="238">
        <f t="shared" si="28"/>
        <v>82289088</v>
      </c>
      <c r="Q131" s="236">
        <v>16470981.35</v>
      </c>
      <c r="R131" s="237">
        <v>13163.75</v>
      </c>
      <c r="S131" s="238">
        <f t="shared" si="29"/>
        <v>98825888.099999994</v>
      </c>
      <c r="T131" s="236">
        <v>16513019.029999999</v>
      </c>
      <c r="U131" s="237">
        <v>42037.68</v>
      </c>
      <c r="V131" s="238">
        <f t="shared" si="30"/>
        <v>115591133.20999999</v>
      </c>
      <c r="W131" s="236">
        <v>16484702.050000001</v>
      </c>
      <c r="X131" s="237">
        <v>-28316.98</v>
      </c>
      <c r="Y131" s="238">
        <f t="shared" si="31"/>
        <v>131877616.40000001</v>
      </c>
    </row>
    <row r="133" spans="1:25">
      <c r="B133" s="239">
        <f>+B78-B131</f>
        <v>0</v>
      </c>
      <c r="C133" s="239">
        <f t="shared" ref="C133:Y133" si="32">+C78-C131</f>
        <v>0</v>
      </c>
      <c r="D133" s="239">
        <f t="shared" si="32"/>
        <v>0</v>
      </c>
      <c r="E133" s="239">
        <f t="shared" si="32"/>
        <v>0</v>
      </c>
      <c r="F133" s="239">
        <f t="shared" si="32"/>
        <v>0</v>
      </c>
      <c r="G133" s="239">
        <f t="shared" si="32"/>
        <v>0</v>
      </c>
      <c r="H133" s="239">
        <f t="shared" si="32"/>
        <v>0</v>
      </c>
      <c r="I133" s="239">
        <f t="shared" si="32"/>
        <v>0</v>
      </c>
      <c r="J133" s="239">
        <f t="shared" si="32"/>
        <v>0</v>
      </c>
      <c r="K133" s="239">
        <f t="shared" si="32"/>
        <v>0</v>
      </c>
      <c r="L133" s="239">
        <f t="shared" si="32"/>
        <v>0</v>
      </c>
      <c r="M133" s="239">
        <f t="shared" si="32"/>
        <v>0</v>
      </c>
      <c r="N133" s="239">
        <f t="shared" si="32"/>
        <v>0</v>
      </c>
      <c r="O133" s="239">
        <f t="shared" si="32"/>
        <v>0</v>
      </c>
      <c r="P133" s="239">
        <f t="shared" si="32"/>
        <v>0</v>
      </c>
      <c r="Q133" s="239">
        <f t="shared" si="32"/>
        <v>0</v>
      </c>
      <c r="R133" s="239">
        <f t="shared" si="32"/>
        <v>0</v>
      </c>
      <c r="S133" s="239">
        <f t="shared" si="32"/>
        <v>0</v>
      </c>
      <c r="T133" s="239">
        <f t="shared" si="32"/>
        <v>0</v>
      </c>
      <c r="U133" s="239">
        <f t="shared" si="32"/>
        <v>0</v>
      </c>
      <c r="V133" s="239">
        <f t="shared" si="32"/>
        <v>0</v>
      </c>
      <c r="W133" s="239">
        <f t="shared" si="32"/>
        <v>0</v>
      </c>
      <c r="X133" s="239">
        <f t="shared" si="32"/>
        <v>0</v>
      </c>
      <c r="Y133" s="239">
        <f t="shared" si="32"/>
        <v>0</v>
      </c>
    </row>
  </sheetData>
  <mergeCells count="8">
    <mergeCell ref="T3:V3"/>
    <mergeCell ref="W3:Y3"/>
    <mergeCell ref="B3:D3"/>
    <mergeCell ref="E3:G3"/>
    <mergeCell ref="H3:J3"/>
    <mergeCell ref="K3:M3"/>
    <mergeCell ref="N3:P3"/>
    <mergeCell ref="Q3:S3"/>
  </mergeCells>
  <pageMargins left="0.7" right="0.7" top="0.7" bottom="0.7" header="0.5" footer="0.5"/>
  <pageSetup fitToHeight="990" orientation="portrait" useFirstPageNumber="1"/>
  <headerFooter alignWithMargins="0">
    <oddHeader>&amp;R&amp;B&amp;D &amp;T</oddHeader>
    <oddFooter>&amp;C&amp;B Page &amp;P of &amp;N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Product Data (2)</vt:lpstr>
      <vt:lpstr>Index</vt:lpstr>
      <vt:lpstr>Trend Dashboard</vt:lpstr>
      <vt:lpstr>Key Dashboards-July 2017</vt:lpstr>
      <vt:lpstr>INPUT DATA SHEETS</vt:lpstr>
      <vt:lpstr>Raw Data</vt:lpstr>
      <vt:lpstr>Expenses</vt:lpstr>
      <vt:lpstr>Balance Sheet</vt:lpstr>
      <vt:lpstr>Index!Print_Area</vt:lpstr>
      <vt:lpstr>'Balance Sheet'!Print_Titles</vt:lpstr>
      <vt:lpstr>Expenses!Print_Titles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</dc:creator>
  <cp:lastModifiedBy>Arvind</cp:lastModifiedBy>
  <dcterms:created xsi:type="dcterms:W3CDTF">2017-09-06T10:19:27Z</dcterms:created>
  <dcterms:modified xsi:type="dcterms:W3CDTF">2017-11-24T14:37:22Z</dcterms:modified>
</cp:coreProperties>
</file>