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onn-my.sharepoint.com/personal/avdminne_uconn_edu/Documents/Book/1stDraftsOf4eNewTOCchapters/Part4initialDrafts/Exhibits/Chapter 18/"/>
    </mc:Choice>
  </mc:AlternateContent>
  <xr:revisionPtr revIDLastSave="346" documentId="8_{356F4A30-C78A-4F90-BD00-22EDC3E2677A}" xr6:coauthVersionLast="47" xr6:coauthVersionMax="47" xr10:uidLastSave="{376FF827-AE30-4640-AF32-5E1B1CA40048}"/>
  <bookViews>
    <workbookView xWindow="-110" yWindow="-110" windowWidth="25820" windowHeight="15500" xr2:uid="{D5DBCDCB-B591-4DB1-9B95-BC6CEDDED5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4" i="1" s="1"/>
  <c r="F40" i="1" s="1"/>
  <c r="F5" i="1"/>
  <c r="I5" i="1" s="1"/>
  <c r="F28" i="1"/>
  <c r="F25" i="1"/>
  <c r="F6" i="1" l="1"/>
  <c r="F36" i="1"/>
  <c r="F37" i="1"/>
  <c r="F34" i="1"/>
  <c r="F33" i="1"/>
  <c r="K5" i="1"/>
  <c r="L5" i="1"/>
  <c r="H5" i="1"/>
  <c r="G5" i="1"/>
  <c r="J5" i="1"/>
  <c r="G35" i="1" l="1"/>
  <c r="H6" i="1"/>
  <c r="L6" i="1"/>
  <c r="L35" i="1" s="1"/>
  <c r="G6" i="1"/>
  <c r="J6" i="1"/>
  <c r="I6" i="1"/>
  <c r="K6" i="1"/>
  <c r="I33" i="1" l="1"/>
  <c r="I35" i="1"/>
  <c r="J33" i="1"/>
  <c r="J35" i="1"/>
  <c r="H33" i="1"/>
  <c r="H35" i="1"/>
  <c r="K33" i="1"/>
  <c r="K35" i="1"/>
  <c r="L33" i="1"/>
  <c r="E35" i="1" l="1"/>
  <c r="F26" i="1"/>
  <c r="G17" i="1"/>
  <c r="G33" i="1" l="1"/>
  <c r="E33" i="1" s="1"/>
  <c r="F39" i="1"/>
  <c r="F41" i="1" s="1"/>
  <c r="F42" i="1" s="1"/>
  <c r="F27" i="1"/>
  <c r="F29" i="1" s="1"/>
  <c r="G23" i="1" s="1"/>
  <c r="G25" i="1" s="1"/>
  <c r="G18" i="1"/>
  <c r="H10" i="1"/>
  <c r="H11" i="1" s="1"/>
  <c r="H12" i="1" s="1"/>
  <c r="H38" i="1" s="1"/>
  <c r="G26" i="1"/>
  <c r="I10" i="1" l="1"/>
  <c r="G19" i="1"/>
  <c r="G38" i="1"/>
  <c r="G37" i="1"/>
  <c r="E37" i="1" s="1"/>
  <c r="G34" i="1"/>
  <c r="E34" i="1" s="1"/>
  <c r="G24" i="1"/>
  <c r="G28" i="1"/>
  <c r="H36" i="1"/>
  <c r="H24" i="1"/>
  <c r="G27" i="1"/>
  <c r="I11" i="1"/>
  <c r="I12" i="1" s="1"/>
  <c r="I38" i="1" s="1"/>
  <c r="J10" i="1"/>
  <c r="G29" i="1" l="1"/>
  <c r="I36" i="1"/>
  <c r="I24" i="1"/>
  <c r="J11" i="1"/>
  <c r="J12" i="1" s="1"/>
  <c r="J38" i="1" s="1"/>
  <c r="K10" i="1"/>
  <c r="H23" i="1" l="1"/>
  <c r="G40" i="1"/>
  <c r="E40" i="1" s="1"/>
  <c r="J36" i="1"/>
  <c r="J24" i="1"/>
  <c r="L10" i="1"/>
  <c r="L11" i="1" s="1"/>
  <c r="K11" i="1"/>
  <c r="K12" i="1" s="1"/>
  <c r="K38" i="1" s="1"/>
  <c r="G42" i="1" l="1"/>
  <c r="E42" i="1" s="1"/>
  <c r="H25" i="1"/>
  <c r="H26" i="1" s="1"/>
  <c r="K36" i="1"/>
  <c r="K24" i="1"/>
  <c r="L12" i="1"/>
  <c r="L24" i="1" s="1"/>
  <c r="H28" i="1" l="1"/>
  <c r="H27" i="1"/>
  <c r="H29" i="1" s="1"/>
  <c r="I23" i="1" s="1"/>
  <c r="H39" i="1"/>
  <c r="H41" i="1" s="1"/>
  <c r="L36" i="1"/>
  <c r="L38" i="1" s="1"/>
  <c r="E38" i="1" s="1"/>
  <c r="I25" i="1" l="1"/>
  <c r="I26" i="1" s="1"/>
  <c r="I28" i="1"/>
  <c r="E36" i="1"/>
  <c r="I27" i="1" l="1"/>
  <c r="I29" i="1" s="1"/>
  <c r="J23" i="1" s="1"/>
  <c r="I39" i="1"/>
  <c r="I41" i="1" s="1"/>
  <c r="J25" i="1" l="1"/>
  <c r="J28" i="1"/>
  <c r="J26" i="1" l="1"/>
  <c r="J39" i="1" s="1"/>
  <c r="J41" i="1" s="1"/>
  <c r="J27" i="1"/>
  <c r="J29" i="1" s="1"/>
  <c r="K23" i="1" s="1"/>
  <c r="K25" i="1" l="1"/>
  <c r="K28" i="1"/>
  <c r="K26" i="1" l="1"/>
  <c r="K39" i="1" s="1"/>
  <c r="K27" i="1"/>
  <c r="K29" i="1" s="1"/>
  <c r="L23" i="1" s="1"/>
  <c r="K41" i="1" l="1"/>
  <c r="L25" i="1"/>
  <c r="L26" i="1" s="1"/>
  <c r="L27" i="1" s="1"/>
  <c r="L28" i="1"/>
  <c r="L29" i="1" s="1"/>
  <c r="L39" i="1" s="1"/>
  <c r="L41" i="1" l="1"/>
  <c r="E41" i="1" s="1"/>
  <c r="E39" i="1"/>
</calcChain>
</file>

<file path=xl/sharedStrings.xml><?xml version="1.0" encoding="utf-8"?>
<sst xmlns="http://schemas.openxmlformats.org/spreadsheetml/2006/main" count="52" uniqueCount="41">
  <si>
    <t>Property value</t>
  </si>
  <si>
    <t>PBTCF</t>
  </si>
  <si>
    <t>Land cost</t>
  </si>
  <si>
    <t>Construction cost</t>
  </si>
  <si>
    <t>Interest</t>
  </si>
  <si>
    <t>Debt service</t>
  </si>
  <si>
    <t>Construction loan</t>
  </si>
  <si>
    <t>Construction loan repayment</t>
  </si>
  <si>
    <t>Equity LP (begin)</t>
  </si>
  <si>
    <t>Equity LP (end)</t>
  </si>
  <si>
    <t>LP Investment</t>
  </si>
  <si>
    <t>Prefered return (LP)</t>
  </si>
  <si>
    <t>LP</t>
  </si>
  <si>
    <t>EBTCF</t>
  </si>
  <si>
    <t>GP</t>
  </si>
  <si>
    <t>Residual claim (LP)</t>
  </si>
  <si>
    <t>B. Permanent Mortgage</t>
  </si>
  <si>
    <t>C. Development</t>
  </si>
  <si>
    <t>D. Prefered Equity</t>
  </si>
  <si>
    <t>year</t>
  </si>
  <si>
    <t>LP share %</t>
  </si>
  <si>
    <t>A. Similar Stabilized Rental Property</t>
  </si>
  <si>
    <t>growth (property &amp; PBTCF)</t>
  </si>
  <si>
    <t>Year 0 property value</t>
  </si>
  <si>
    <t>Land acquisition cost</t>
  </si>
  <si>
    <t>Loan amount</t>
  </si>
  <si>
    <t>Preferred equity (Paid)</t>
  </si>
  <si>
    <t>Preferred equity (Unpaid)</t>
  </si>
  <si>
    <t>Pay off accrued LP balance</t>
  </si>
  <si>
    <t>Income Yield Year 0</t>
  </si>
  <si>
    <t>(I) Property</t>
  </si>
  <si>
    <t>(II) Permanent Mortgage (interest only)</t>
  </si>
  <si>
    <t>(III) Limited Partner</t>
  </si>
  <si>
    <t>INPUTS</t>
  </si>
  <si>
    <t>Preferred equity (LP)</t>
  </si>
  <si>
    <t>IRR</t>
  </si>
  <si>
    <t>Phase</t>
  </si>
  <si>
    <t xml:space="preserve">Both  </t>
  </si>
  <si>
    <t xml:space="preserve">Construction  </t>
  </si>
  <si>
    <t xml:space="preserve">Operational   </t>
  </si>
  <si>
    <t>Internal Rate of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</si>
</sst>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0"/>
      <name val="Times New Roman"/>
      <family val="1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164" fontId="2" fillId="3" borderId="0" xfId="1" applyNumberFormat="1" applyFont="1" applyFill="1"/>
    <xf numFmtId="44" fontId="2" fillId="3" borderId="0" xfId="1" applyFont="1" applyFill="1"/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0" applyNumberFormat="1" applyFont="1" applyFill="1" applyBorder="1"/>
    <xf numFmtId="44" fontId="2" fillId="3" borderId="2" xfId="1" applyFont="1" applyFill="1" applyBorder="1"/>
    <xf numFmtId="164" fontId="2" fillId="3" borderId="2" xfId="1" applyNumberFormat="1" applyFont="1" applyFill="1" applyBorder="1"/>
    <xf numFmtId="10" fontId="2" fillId="3" borderId="6" xfId="2" applyNumberFormat="1" applyFont="1" applyFill="1" applyBorder="1"/>
    <xf numFmtId="164" fontId="2" fillId="3" borderId="6" xfId="1" applyNumberFormat="1" applyFont="1" applyFill="1" applyBorder="1"/>
    <xf numFmtId="9" fontId="2" fillId="3" borderId="6" xfId="2" applyFont="1" applyFill="1" applyBorder="1"/>
    <xf numFmtId="9" fontId="2" fillId="3" borderId="7" xfId="2" applyFont="1" applyFill="1" applyBorder="1"/>
    <xf numFmtId="0" fontId="5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6" xfId="0" applyFont="1" applyFill="1" applyBorder="1"/>
    <xf numFmtId="164" fontId="2" fillId="5" borderId="2" xfId="0" applyNumberFormat="1" applyFont="1" applyFill="1" applyBorder="1"/>
    <xf numFmtId="164" fontId="2" fillId="5" borderId="9" xfId="0" applyNumberFormat="1" applyFont="1" applyFill="1" applyBorder="1"/>
    <xf numFmtId="164" fontId="2" fillId="5" borderId="0" xfId="1" applyNumberFormat="1" applyFont="1" applyFill="1"/>
    <xf numFmtId="164" fontId="2" fillId="5" borderId="8" xfId="1" applyNumberFormat="1" applyFont="1" applyFill="1" applyBorder="1"/>
    <xf numFmtId="44" fontId="2" fillId="5" borderId="6" xfId="1" applyFont="1" applyFill="1" applyBorder="1"/>
    <xf numFmtId="164" fontId="2" fillId="5" borderId="6" xfId="1" applyNumberFormat="1" applyFont="1" applyFill="1" applyBorder="1"/>
    <xf numFmtId="44" fontId="2" fillId="5" borderId="0" xfId="1" applyFont="1" applyFill="1"/>
    <xf numFmtId="164" fontId="2" fillId="5" borderId="6" xfId="0" applyNumberFormat="1" applyFont="1" applyFill="1" applyBorder="1"/>
    <xf numFmtId="44" fontId="2" fillId="5" borderId="2" xfId="1" applyFont="1" applyFill="1" applyBorder="1"/>
    <xf numFmtId="164" fontId="2" fillId="5" borderId="2" xfId="1" applyNumberFormat="1" applyFont="1" applyFill="1" applyBorder="1"/>
    <xf numFmtId="164" fontId="2" fillId="5" borderId="9" xfId="1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0" xfId="0" applyFont="1" applyFill="1" applyBorder="1"/>
    <xf numFmtId="0" fontId="2" fillId="4" borderId="0" xfId="0" applyFont="1" applyFill="1"/>
    <xf numFmtId="164" fontId="2" fillId="5" borderId="5" xfId="1" applyNumberFormat="1" applyFont="1" applyFill="1" applyBorder="1"/>
    <xf numFmtId="10" fontId="2" fillId="3" borderId="0" xfId="0" applyNumberFormat="1" applyFont="1" applyFill="1"/>
    <xf numFmtId="0" fontId="6" fillId="3" borderId="0" xfId="0" applyFont="1" applyFill="1"/>
    <xf numFmtId="10" fontId="2" fillId="3" borderId="8" xfId="2" applyNumberFormat="1" applyFont="1" applyFill="1" applyBorder="1"/>
    <xf numFmtId="10" fontId="2" fillId="0" borderId="7" xfId="2" applyNumberFormat="1" applyFont="1" applyBorder="1"/>
    <xf numFmtId="164" fontId="6" fillId="6" borderId="0" xfId="0" applyNumberFormat="1" applyFont="1" applyFill="1"/>
    <xf numFmtId="164" fontId="6" fillId="6" borderId="8" xfId="0" applyNumberFormat="1" applyFont="1" applyFill="1" applyBorder="1"/>
    <xf numFmtId="164" fontId="6" fillId="6" borderId="2" xfId="0" applyNumberFormat="1" applyFont="1" applyFill="1" applyBorder="1"/>
    <xf numFmtId="164" fontId="6" fillId="6" borderId="9" xfId="0" applyNumberFormat="1" applyFont="1" applyFill="1" applyBorder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2" fillId="3" borderId="0" xfId="0" applyNumberFormat="1" applyFont="1" applyFill="1" applyBorder="1"/>
    <xf numFmtId="0" fontId="2" fillId="0" borderId="0" xfId="0" applyFont="1" applyFill="1"/>
    <xf numFmtId="0" fontId="2" fillId="3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164" fontId="2" fillId="3" borderId="0" xfId="1" applyNumberFormat="1" applyFont="1" applyFill="1" applyBorder="1"/>
    <xf numFmtId="44" fontId="2" fillId="3" borderId="0" xfId="1" applyFont="1" applyFill="1" applyBorder="1"/>
    <xf numFmtId="0" fontId="2" fillId="4" borderId="7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7" borderId="0" xfId="0" applyFont="1" applyFill="1" applyBorder="1"/>
    <xf numFmtId="164" fontId="2" fillId="7" borderId="0" xfId="0" applyNumberFormat="1" applyFont="1" applyFill="1" applyBorder="1"/>
    <xf numFmtId="44" fontId="2" fillId="7" borderId="0" xfId="1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44" fontId="2" fillId="7" borderId="0" xfId="0" applyNumberFormat="1" applyFont="1" applyFill="1" applyBorder="1"/>
    <xf numFmtId="0" fontId="2" fillId="7" borderId="2" xfId="0" applyFont="1" applyFill="1" applyBorder="1"/>
    <xf numFmtId="164" fontId="2" fillId="7" borderId="2" xfId="0" applyNumberFormat="1" applyFont="1" applyFill="1" applyBorder="1"/>
    <xf numFmtId="10" fontId="4" fillId="3" borderId="6" xfId="0" applyNumberFormat="1" applyFont="1" applyFill="1" applyBorder="1"/>
    <xf numFmtId="10" fontId="4" fillId="3" borderId="7" xfId="0" applyNumberFormat="1" applyFont="1" applyFill="1" applyBorder="1"/>
    <xf numFmtId="10" fontId="4" fillId="7" borderId="6" xfId="0" applyNumberFormat="1" applyFont="1" applyFill="1" applyBorder="1"/>
    <xf numFmtId="10" fontId="4" fillId="7" borderId="7" xfId="0" applyNumberFormat="1" applyFont="1" applyFill="1" applyBorder="1"/>
    <xf numFmtId="10" fontId="4" fillId="7" borderId="9" xfId="0" applyNumberFormat="1" applyFont="1" applyFill="1" applyBorder="1"/>
    <xf numFmtId="0" fontId="3" fillId="2" borderId="1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D0F6-BA24-459D-844F-82691ADF3AF0}">
  <dimension ref="A1:N43"/>
  <sheetViews>
    <sheetView tabSelected="1" workbookViewId="0">
      <selection activeCell="F43" sqref="F43"/>
    </sheetView>
  </sheetViews>
  <sheetFormatPr defaultRowHeight="14" x14ac:dyDescent="0.3"/>
  <cols>
    <col min="1" max="1" width="12" style="1" customWidth="1"/>
    <col min="2" max="2" width="23.7265625" style="1" bestFit="1" customWidth="1"/>
    <col min="3" max="3" width="12" style="1" bestFit="1" customWidth="1"/>
    <col min="4" max="4" width="16.1796875" style="1" bestFit="1" customWidth="1"/>
    <col min="5" max="5" width="24" style="1" bestFit="1" customWidth="1"/>
    <col min="6" max="6" width="14.26953125" style="1" bestFit="1" customWidth="1"/>
    <col min="7" max="7" width="14.90625" style="1" bestFit="1" customWidth="1"/>
    <col min="8" max="12" width="13.81640625" style="1" bestFit="1" customWidth="1"/>
    <col min="13" max="13" width="8.7265625" style="1"/>
    <col min="14" max="14" width="11" style="1" bestFit="1" customWidth="1"/>
    <col min="15" max="16384" width="8.7265625" style="1"/>
  </cols>
  <sheetData>
    <row r="1" spans="1:14" x14ac:dyDescent="0.3">
      <c r="A1" s="2"/>
      <c r="B1" s="2"/>
      <c r="C1" s="2"/>
      <c r="D1" s="2"/>
      <c r="E1" s="2"/>
      <c r="F1" s="5"/>
      <c r="G1" s="3"/>
      <c r="H1" s="3"/>
      <c r="I1" s="3"/>
      <c r="J1" s="3"/>
      <c r="K1" s="3"/>
      <c r="L1" s="3"/>
      <c r="M1" s="37"/>
    </row>
    <row r="2" spans="1:14" ht="14.5" thickBot="1" x14ac:dyDescent="0.35">
      <c r="A2" s="2"/>
      <c r="B2" s="45" t="s">
        <v>33</v>
      </c>
      <c r="C2" s="2"/>
      <c r="D2" s="2"/>
      <c r="E2" s="7"/>
      <c r="F2" s="7"/>
      <c r="G2" s="7"/>
      <c r="H2" s="7"/>
      <c r="I2" s="7"/>
      <c r="J2" s="7"/>
      <c r="K2" s="7"/>
      <c r="L2" s="7"/>
      <c r="M2" s="2"/>
    </row>
    <row r="3" spans="1:14" ht="14.5" customHeight="1" thickTop="1" x14ac:dyDescent="0.3">
      <c r="A3" s="2"/>
      <c r="B3" s="47" t="s">
        <v>30</v>
      </c>
      <c r="C3" s="48"/>
      <c r="D3" s="2"/>
      <c r="E3" s="46" t="s">
        <v>21</v>
      </c>
      <c r="F3" s="46"/>
      <c r="G3" s="46"/>
      <c r="H3" s="46"/>
      <c r="I3" s="46"/>
      <c r="J3" s="46"/>
      <c r="K3" s="46"/>
      <c r="L3" s="46"/>
      <c r="M3" s="2"/>
      <c r="N3" s="16"/>
    </row>
    <row r="4" spans="1:14" x14ac:dyDescent="0.3">
      <c r="A4" s="2"/>
      <c r="B4" s="31" t="s">
        <v>22</v>
      </c>
      <c r="C4" s="39">
        <v>0.03</v>
      </c>
      <c r="D4" s="2"/>
      <c r="E4" s="15" t="s">
        <v>19</v>
      </c>
      <c r="F4" s="6">
        <v>0</v>
      </c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2"/>
      <c r="N4" s="16"/>
    </row>
    <row r="5" spans="1:14" x14ac:dyDescent="0.3">
      <c r="A5" s="2"/>
      <c r="B5" s="32" t="s">
        <v>2</v>
      </c>
      <c r="C5" s="12">
        <v>2000000</v>
      </c>
      <c r="D5" s="38">
        <v>1</v>
      </c>
      <c r="E5" s="17" t="s">
        <v>0</v>
      </c>
      <c r="F5" s="41">
        <f>C6</f>
        <v>10000000</v>
      </c>
      <c r="G5" s="42">
        <f t="shared" ref="G5:L5" si="0">$F$5*(1+$C$4)^G4</f>
        <v>10300000</v>
      </c>
      <c r="H5" s="3">
        <f t="shared" si="0"/>
        <v>10609000</v>
      </c>
      <c r="I5" s="3">
        <f t="shared" si="0"/>
        <v>10927270</v>
      </c>
      <c r="J5" s="3">
        <f t="shared" si="0"/>
        <v>11255088.1</v>
      </c>
      <c r="K5" s="3">
        <f t="shared" si="0"/>
        <v>11592740.742999999</v>
      </c>
      <c r="L5" s="3">
        <f t="shared" si="0"/>
        <v>11940522.965289999</v>
      </c>
      <c r="M5" s="2"/>
    </row>
    <row r="6" spans="1:14" ht="14.5" customHeight="1" thickBot="1" x14ac:dyDescent="0.35">
      <c r="A6" s="2"/>
      <c r="B6" s="32" t="s">
        <v>23</v>
      </c>
      <c r="C6" s="12">
        <v>10000000</v>
      </c>
      <c r="D6" s="38">
        <v>2</v>
      </c>
      <c r="E6" s="18" t="s">
        <v>1</v>
      </c>
      <c r="F6" s="43">
        <f>F5*C7</f>
        <v>400000</v>
      </c>
      <c r="G6" s="44">
        <f t="shared" ref="G6:L6" si="1">$F$6*(1+$C$4)^G4</f>
        <v>412000</v>
      </c>
      <c r="H6" s="8">
        <f t="shared" si="1"/>
        <v>424360</v>
      </c>
      <c r="I6" s="8">
        <f t="shared" si="1"/>
        <v>437090.8</v>
      </c>
      <c r="J6" s="8">
        <f t="shared" si="1"/>
        <v>450203.52399999998</v>
      </c>
      <c r="K6" s="8">
        <f t="shared" si="1"/>
        <v>463709.62971999991</v>
      </c>
      <c r="L6" s="8">
        <f t="shared" si="1"/>
        <v>477620.91861159995</v>
      </c>
      <c r="M6" s="2"/>
    </row>
    <row r="7" spans="1:14" ht="15" thickTop="1" thickBot="1" x14ac:dyDescent="0.35">
      <c r="A7" s="2"/>
      <c r="B7" s="33" t="s">
        <v>29</v>
      </c>
      <c r="C7" s="40">
        <v>0.04</v>
      </c>
      <c r="D7" s="38"/>
      <c r="E7" s="7"/>
      <c r="F7" s="7"/>
      <c r="G7" s="7"/>
      <c r="H7" s="7"/>
      <c r="I7" s="7"/>
      <c r="J7" s="7"/>
      <c r="K7" s="7"/>
      <c r="L7" s="7"/>
      <c r="M7" s="2"/>
    </row>
    <row r="8" spans="1:14" ht="14.5" thickTop="1" x14ac:dyDescent="0.3">
      <c r="A8" s="2"/>
      <c r="B8" s="47" t="s">
        <v>31</v>
      </c>
      <c r="C8" s="48"/>
      <c r="D8" s="38"/>
      <c r="E8" s="46" t="s">
        <v>16</v>
      </c>
      <c r="F8" s="46"/>
      <c r="G8" s="46"/>
      <c r="H8" s="46"/>
      <c r="I8" s="46"/>
      <c r="J8" s="46"/>
      <c r="K8" s="46"/>
      <c r="L8" s="46"/>
      <c r="M8" s="2"/>
    </row>
    <row r="9" spans="1:14" x14ac:dyDescent="0.3">
      <c r="A9" s="2"/>
      <c r="B9" s="34" t="s">
        <v>4</v>
      </c>
      <c r="C9" s="11">
        <v>0.05</v>
      </c>
      <c r="D9" s="38"/>
      <c r="E9" s="6"/>
      <c r="F9" s="6">
        <v>0</v>
      </c>
      <c r="G9" s="6">
        <v>1</v>
      </c>
      <c r="H9" s="6">
        <v>2</v>
      </c>
      <c r="I9" s="6">
        <v>3</v>
      </c>
      <c r="J9" s="6">
        <v>4</v>
      </c>
      <c r="K9" s="6">
        <v>5</v>
      </c>
      <c r="L9" s="6">
        <v>6</v>
      </c>
      <c r="M9" s="2"/>
    </row>
    <row r="10" spans="1:14" x14ac:dyDescent="0.3">
      <c r="A10" s="2"/>
      <c r="B10" s="47" t="s">
        <v>32</v>
      </c>
      <c r="C10" s="48"/>
      <c r="D10" s="38">
        <v>3</v>
      </c>
      <c r="E10" s="17" t="s">
        <v>25</v>
      </c>
      <c r="F10" s="22">
        <v>0</v>
      </c>
      <c r="G10" s="23">
        <v>0</v>
      </c>
      <c r="H10" s="4">
        <f>G17</f>
        <v>8000000</v>
      </c>
      <c r="I10" s="4">
        <f>H10</f>
        <v>8000000</v>
      </c>
      <c r="J10" s="4">
        <f t="shared" ref="J10:L10" si="2">I10</f>
        <v>8000000</v>
      </c>
      <c r="K10" s="4">
        <f t="shared" si="2"/>
        <v>8000000</v>
      </c>
      <c r="L10" s="4">
        <f t="shared" si="2"/>
        <v>8000000</v>
      </c>
      <c r="M10" s="2"/>
    </row>
    <row r="11" spans="1:14" x14ac:dyDescent="0.3">
      <c r="A11" s="2"/>
      <c r="B11" s="31" t="s">
        <v>20</v>
      </c>
      <c r="C11" s="13">
        <v>0.9</v>
      </c>
      <c r="D11" s="38">
        <v>4</v>
      </c>
      <c r="E11" s="19" t="s">
        <v>5</v>
      </c>
      <c r="F11" s="22">
        <v>0</v>
      </c>
      <c r="G11" s="24">
        <v>0</v>
      </c>
      <c r="H11" s="4">
        <f>H10*$C$9</f>
        <v>400000</v>
      </c>
      <c r="I11" s="4">
        <f>I10*$C$9</f>
        <v>400000</v>
      </c>
      <c r="J11" s="4">
        <f>J10*$C$9</f>
        <v>400000</v>
      </c>
      <c r="K11" s="4">
        <f>K10*$C$9</f>
        <v>400000</v>
      </c>
      <c r="L11" s="4">
        <f>L10*$C$9</f>
        <v>400000</v>
      </c>
      <c r="M11" s="2"/>
    </row>
    <row r="12" spans="1:14" ht="14.5" thickBot="1" x14ac:dyDescent="0.35">
      <c r="A12" s="2"/>
      <c r="B12" s="32" t="s">
        <v>11</v>
      </c>
      <c r="C12" s="11">
        <v>5.5E-2</v>
      </c>
      <c r="D12" s="38">
        <v>5</v>
      </c>
      <c r="E12" s="18" t="s">
        <v>13</v>
      </c>
      <c r="F12" s="20">
        <v>0</v>
      </c>
      <c r="G12" s="21">
        <v>0</v>
      </c>
      <c r="H12" s="8">
        <f>H6-H11</f>
        <v>24360</v>
      </c>
      <c r="I12" s="8">
        <f>I6-I11</f>
        <v>37090.799999999988</v>
      </c>
      <c r="J12" s="8">
        <f>J6-J11</f>
        <v>50203.523999999976</v>
      </c>
      <c r="K12" s="8">
        <f>K6-K11</f>
        <v>63709.62971999991</v>
      </c>
      <c r="L12" s="8">
        <f>L6-L11</f>
        <v>77620.918611599947</v>
      </c>
      <c r="M12" s="2"/>
    </row>
    <row r="13" spans="1:14" ht="15" thickTop="1" thickBot="1" x14ac:dyDescent="0.35">
      <c r="A13" s="2"/>
      <c r="B13" s="33" t="s">
        <v>15</v>
      </c>
      <c r="C13" s="14">
        <v>0.5</v>
      </c>
      <c r="D13" s="38"/>
      <c r="E13" s="7"/>
      <c r="F13" s="7"/>
      <c r="G13" s="7"/>
      <c r="H13" s="7"/>
      <c r="I13" s="7"/>
      <c r="J13" s="7"/>
      <c r="K13" s="7"/>
      <c r="L13" s="7"/>
      <c r="M13" s="2"/>
    </row>
    <row r="14" spans="1:14" ht="14.5" customHeight="1" thickTop="1" x14ac:dyDescent="0.3">
      <c r="A14" s="2"/>
      <c r="B14" s="2"/>
      <c r="C14" s="2"/>
      <c r="D14" s="38"/>
      <c r="E14" s="46" t="s">
        <v>17</v>
      </c>
      <c r="F14" s="46"/>
      <c r="G14" s="46"/>
      <c r="H14" s="46"/>
      <c r="I14" s="46"/>
      <c r="J14" s="46"/>
      <c r="K14" s="46"/>
      <c r="L14" s="46"/>
      <c r="M14" s="2"/>
    </row>
    <row r="15" spans="1:14" x14ac:dyDescent="0.3">
      <c r="A15" s="2"/>
      <c r="B15" s="2"/>
      <c r="C15" s="2"/>
      <c r="D15" s="38"/>
      <c r="E15" s="15" t="s">
        <v>19</v>
      </c>
      <c r="F15" s="6">
        <v>0</v>
      </c>
      <c r="G15" s="6">
        <v>1</v>
      </c>
      <c r="H15" s="6">
        <v>2</v>
      </c>
      <c r="I15" s="6">
        <v>3</v>
      </c>
      <c r="J15" s="6">
        <v>4</v>
      </c>
      <c r="K15" s="6">
        <v>5</v>
      </c>
      <c r="L15" s="6">
        <v>6</v>
      </c>
      <c r="M15" s="2"/>
    </row>
    <row r="16" spans="1:14" x14ac:dyDescent="0.3">
      <c r="A16" s="2"/>
      <c r="B16" s="2"/>
      <c r="C16" s="2"/>
      <c r="D16" s="38">
        <v>6</v>
      </c>
      <c r="E16" s="17" t="s">
        <v>24</v>
      </c>
      <c r="F16" s="22">
        <f>C5</f>
        <v>2000000</v>
      </c>
      <c r="G16" s="23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2"/>
    </row>
    <row r="17" spans="1:13" x14ac:dyDescent="0.3">
      <c r="A17" s="2"/>
      <c r="B17" s="2"/>
      <c r="C17" s="2"/>
      <c r="D17" s="38">
        <v>7</v>
      </c>
      <c r="E17" s="19" t="s">
        <v>3</v>
      </c>
      <c r="F17" s="22">
        <v>0</v>
      </c>
      <c r="G17" s="25">
        <f>C6-F16</f>
        <v>8000000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2"/>
    </row>
    <row r="18" spans="1:13" x14ac:dyDescent="0.3">
      <c r="A18" s="2"/>
      <c r="B18" s="2"/>
      <c r="C18" s="2"/>
      <c r="D18" s="38">
        <v>8</v>
      </c>
      <c r="E18" s="19" t="s">
        <v>6</v>
      </c>
      <c r="F18" s="26">
        <v>0</v>
      </c>
      <c r="G18" s="27">
        <f>G17</f>
        <v>8000000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2"/>
    </row>
    <row r="19" spans="1:13" ht="14.5" thickBot="1" x14ac:dyDescent="0.35">
      <c r="A19" s="2"/>
      <c r="B19" s="2"/>
      <c r="C19" s="2"/>
      <c r="D19" s="38">
        <v>9</v>
      </c>
      <c r="E19" s="18" t="s">
        <v>7</v>
      </c>
      <c r="F19" s="28">
        <v>0</v>
      </c>
      <c r="G19" s="21">
        <f>-G18</f>
        <v>-8000000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2"/>
    </row>
    <row r="20" spans="1:13" ht="15" thickTop="1" thickBot="1" x14ac:dyDescent="0.35">
      <c r="A20" s="2"/>
      <c r="B20" s="2"/>
      <c r="C20" s="2"/>
      <c r="D20" s="38"/>
      <c r="E20" s="7"/>
      <c r="F20" s="7"/>
      <c r="G20" s="7"/>
      <c r="H20" s="7"/>
      <c r="I20" s="7"/>
      <c r="J20" s="7"/>
      <c r="K20" s="7"/>
      <c r="L20" s="7"/>
      <c r="M20" s="2"/>
    </row>
    <row r="21" spans="1:13" ht="14.5" customHeight="1" thickTop="1" x14ac:dyDescent="0.3">
      <c r="A21" s="2"/>
      <c r="B21" s="2"/>
      <c r="C21" s="2"/>
      <c r="D21" s="38"/>
      <c r="E21" s="46" t="s">
        <v>18</v>
      </c>
      <c r="F21" s="46"/>
      <c r="G21" s="46"/>
      <c r="H21" s="46"/>
      <c r="I21" s="46"/>
      <c r="J21" s="46"/>
      <c r="K21" s="46"/>
      <c r="L21" s="46"/>
      <c r="M21" s="2"/>
    </row>
    <row r="22" spans="1:13" x14ac:dyDescent="0.3">
      <c r="A22" s="2"/>
      <c r="B22" s="2"/>
      <c r="C22" s="2"/>
      <c r="D22" s="38"/>
      <c r="E22" s="15" t="s">
        <v>19</v>
      </c>
      <c r="F22" s="6">
        <v>0</v>
      </c>
      <c r="G22" s="6">
        <v>1</v>
      </c>
      <c r="H22" s="6">
        <v>2</v>
      </c>
      <c r="I22" s="6">
        <v>3</v>
      </c>
      <c r="J22" s="6">
        <v>4</v>
      </c>
      <c r="K22" s="6">
        <v>5</v>
      </c>
      <c r="L22" s="6">
        <v>6</v>
      </c>
      <c r="M22" s="2"/>
    </row>
    <row r="23" spans="1:13" x14ac:dyDescent="0.3">
      <c r="A23" s="2"/>
      <c r="B23" s="2"/>
      <c r="C23" s="2"/>
      <c r="D23" s="38">
        <v>10</v>
      </c>
      <c r="E23" s="17" t="s">
        <v>8</v>
      </c>
      <c r="F23" s="22">
        <v>0</v>
      </c>
      <c r="G23" s="23">
        <f t="shared" ref="G23:L23" si="3">F29</f>
        <v>1800000</v>
      </c>
      <c r="H23" s="4">
        <f t="shared" si="3"/>
        <v>1899000</v>
      </c>
      <c r="I23" s="4">
        <f t="shared" si="3"/>
        <v>1979085</v>
      </c>
      <c r="J23" s="4">
        <f t="shared" si="3"/>
        <v>2050843.875</v>
      </c>
      <c r="K23" s="4">
        <f t="shared" si="3"/>
        <v>2113436.7641250002</v>
      </c>
      <c r="L23" s="4">
        <f t="shared" si="3"/>
        <v>2165966.1564318752</v>
      </c>
      <c r="M23" s="2"/>
    </row>
    <row r="24" spans="1:13" x14ac:dyDescent="0.3">
      <c r="A24" s="2"/>
      <c r="B24" s="2"/>
      <c r="C24" s="2"/>
      <c r="D24" s="38">
        <v>11</v>
      </c>
      <c r="E24" s="19" t="s">
        <v>10</v>
      </c>
      <c r="F24" s="22">
        <f>F16*C11</f>
        <v>1800000</v>
      </c>
      <c r="G24" s="25">
        <f>(G17-G18)*C11</f>
        <v>0</v>
      </c>
      <c r="H24" s="4">
        <f>IF(H12&lt;0,H12*#REF!,0)</f>
        <v>0</v>
      </c>
      <c r="I24" s="4">
        <f>IF(I12&lt;0,I12*D12,0)</f>
        <v>0</v>
      </c>
      <c r="J24" s="4">
        <f>IF(J12&lt;0,J12*E12,0)</f>
        <v>0</v>
      </c>
      <c r="K24" s="4">
        <f>IF(K12&lt;0,K12*F12,0)</f>
        <v>0</v>
      </c>
      <c r="L24" s="4">
        <f>IF(L12&lt;0,L12*G12,0)</f>
        <v>0</v>
      </c>
      <c r="M24" s="2"/>
    </row>
    <row r="25" spans="1:13" x14ac:dyDescent="0.3">
      <c r="A25" s="2"/>
      <c r="B25" s="2"/>
      <c r="C25" s="2"/>
      <c r="D25" s="38">
        <v>12</v>
      </c>
      <c r="E25" s="19" t="s">
        <v>34</v>
      </c>
      <c r="F25" s="22">
        <f t="shared" ref="F25:L25" si="4">F23*$C$12</f>
        <v>0</v>
      </c>
      <c r="G25" s="25">
        <f t="shared" si="4"/>
        <v>99000</v>
      </c>
      <c r="H25" s="4">
        <f t="shared" si="4"/>
        <v>104445</v>
      </c>
      <c r="I25" s="4">
        <f t="shared" si="4"/>
        <v>108849.675</v>
      </c>
      <c r="J25" s="4">
        <f t="shared" si="4"/>
        <v>112796.41312500001</v>
      </c>
      <c r="K25" s="4">
        <f t="shared" si="4"/>
        <v>116239.02202687501</v>
      </c>
      <c r="L25" s="4">
        <f t="shared" si="4"/>
        <v>119128.13860375313</v>
      </c>
      <c r="M25" s="2"/>
    </row>
    <row r="26" spans="1:13" x14ac:dyDescent="0.3">
      <c r="A26" s="2"/>
      <c r="B26" s="2"/>
      <c r="C26" s="2"/>
      <c r="D26" s="38">
        <v>13</v>
      </c>
      <c r="E26" s="19" t="s">
        <v>26</v>
      </c>
      <c r="F26" s="22">
        <f t="shared" ref="F26:L26" si="5">IF(F12&gt;0,MIN(F25,F12),0)</f>
        <v>0</v>
      </c>
      <c r="G26" s="25">
        <f t="shared" si="5"/>
        <v>0</v>
      </c>
      <c r="H26" s="4">
        <f t="shared" si="5"/>
        <v>24360</v>
      </c>
      <c r="I26" s="4">
        <f t="shared" si="5"/>
        <v>37090.799999999988</v>
      </c>
      <c r="J26" s="4">
        <f t="shared" si="5"/>
        <v>50203.523999999976</v>
      </c>
      <c r="K26" s="4">
        <f t="shared" si="5"/>
        <v>63709.62971999991</v>
      </c>
      <c r="L26" s="4">
        <f t="shared" si="5"/>
        <v>77620.918611599947</v>
      </c>
      <c r="M26" s="2"/>
    </row>
    <row r="27" spans="1:13" x14ac:dyDescent="0.3">
      <c r="A27" s="2"/>
      <c r="B27" s="2"/>
      <c r="C27" s="2"/>
      <c r="D27" s="38">
        <v>14</v>
      </c>
      <c r="E27" s="35" t="s">
        <v>27</v>
      </c>
      <c r="F27" s="36">
        <f>F25-F26</f>
        <v>0</v>
      </c>
      <c r="G27" s="25">
        <f>G25-G26</f>
        <v>99000</v>
      </c>
      <c r="H27" s="4">
        <f t="shared" ref="H27:L27" si="6">H25-H26</f>
        <v>80085</v>
      </c>
      <c r="I27" s="4">
        <f t="shared" si="6"/>
        <v>71758.875000000015</v>
      </c>
      <c r="J27" s="4">
        <f t="shared" si="6"/>
        <v>62592.889125000031</v>
      </c>
      <c r="K27" s="4">
        <f t="shared" si="6"/>
        <v>52529.392306875103</v>
      </c>
      <c r="L27" s="4">
        <f t="shared" si="6"/>
        <v>41507.219992153186</v>
      </c>
      <c r="M27" s="2"/>
    </row>
    <row r="28" spans="1:13" x14ac:dyDescent="0.3">
      <c r="A28" s="2"/>
      <c r="B28" s="2"/>
      <c r="C28" s="2"/>
      <c r="D28" s="38">
        <v>15</v>
      </c>
      <c r="E28" s="19" t="s">
        <v>28</v>
      </c>
      <c r="F28" s="22">
        <f t="shared" ref="F28:L28" si="7">IF(F23&gt;$F$23,MAX(F12-F25,0),0)</f>
        <v>0</v>
      </c>
      <c r="G28" s="25">
        <f t="shared" si="7"/>
        <v>0</v>
      </c>
      <c r="H28" s="4">
        <f t="shared" si="7"/>
        <v>0</v>
      </c>
      <c r="I28" s="4">
        <f t="shared" si="7"/>
        <v>0</v>
      </c>
      <c r="J28" s="4">
        <f t="shared" si="7"/>
        <v>0</v>
      </c>
      <c r="K28" s="4">
        <f t="shared" si="7"/>
        <v>0</v>
      </c>
      <c r="L28" s="4">
        <f t="shared" si="7"/>
        <v>0</v>
      </c>
      <c r="M28" s="2"/>
    </row>
    <row r="29" spans="1:13" ht="14.5" thickBot="1" x14ac:dyDescent="0.35">
      <c r="A29" s="2"/>
      <c r="B29" s="2"/>
      <c r="C29" s="2"/>
      <c r="D29" s="38">
        <v>16</v>
      </c>
      <c r="E29" s="18" t="s">
        <v>9</v>
      </c>
      <c r="F29" s="29">
        <f>F23+F24+F27-F28</f>
        <v>1800000</v>
      </c>
      <c r="G29" s="30">
        <f t="shared" ref="G29:L29" si="8">G23+G24+G27-G28</f>
        <v>1899000</v>
      </c>
      <c r="H29" s="10">
        <f t="shared" si="8"/>
        <v>1979085</v>
      </c>
      <c r="I29" s="10">
        <f t="shared" si="8"/>
        <v>2050843.875</v>
      </c>
      <c r="J29" s="10">
        <f t="shared" si="8"/>
        <v>2113436.7641250002</v>
      </c>
      <c r="K29" s="10">
        <f t="shared" si="8"/>
        <v>2165966.1564318752</v>
      </c>
      <c r="L29" s="10">
        <f t="shared" si="8"/>
        <v>2207473.3764240285</v>
      </c>
      <c r="M29" s="2"/>
    </row>
    <row r="30" spans="1:13" ht="15" thickTop="1" thickBot="1" x14ac:dyDescent="0.35">
      <c r="A30" s="2"/>
      <c r="B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2"/>
    </row>
    <row r="31" spans="1:13" ht="14.5" thickTop="1" x14ac:dyDescent="0.3">
      <c r="A31" s="2"/>
      <c r="B31" s="2"/>
      <c r="C31" s="52"/>
      <c r="D31" s="53" t="s">
        <v>40</v>
      </c>
      <c r="E31" s="53"/>
      <c r="F31" s="53"/>
      <c r="G31" s="53"/>
      <c r="H31" s="53"/>
      <c r="I31" s="53"/>
      <c r="J31" s="53"/>
      <c r="K31" s="53"/>
      <c r="L31" s="53"/>
      <c r="M31" s="2"/>
    </row>
    <row r="32" spans="1:13" x14ac:dyDescent="0.3">
      <c r="A32" s="2"/>
      <c r="B32" s="2"/>
      <c r="C32" s="72"/>
      <c r="D32" s="72" t="s">
        <v>36</v>
      </c>
      <c r="E32" s="6" t="s">
        <v>35</v>
      </c>
      <c r="F32" s="15">
        <v>0</v>
      </c>
      <c r="G32" s="15">
        <v>1</v>
      </c>
      <c r="H32" s="15">
        <v>2</v>
      </c>
      <c r="I32" s="15">
        <v>3</v>
      </c>
      <c r="J32" s="15">
        <v>4</v>
      </c>
      <c r="K32" s="15">
        <v>5</v>
      </c>
      <c r="L32" s="15">
        <v>6</v>
      </c>
      <c r="M32" s="2"/>
    </row>
    <row r="33" spans="1:13" x14ac:dyDescent="0.3">
      <c r="A33" s="2"/>
      <c r="B33" s="2"/>
      <c r="C33" s="19" t="s">
        <v>1</v>
      </c>
      <c r="D33" s="51" t="s">
        <v>37</v>
      </c>
      <c r="E33" s="67">
        <f>IRR(F33:L33)</f>
        <v>7.4618194137286986E-2</v>
      </c>
      <c r="F33" s="49">
        <f>-F16</f>
        <v>-2000000</v>
      </c>
      <c r="G33" s="49">
        <f>-G17</f>
        <v>-8000000</v>
      </c>
      <c r="H33" s="49">
        <f>H6</f>
        <v>424360</v>
      </c>
      <c r="I33" s="49">
        <f>I6</f>
        <v>437090.8</v>
      </c>
      <c r="J33" s="49">
        <f>J6</f>
        <v>450203.52399999998</v>
      </c>
      <c r="K33" s="49">
        <f>K6</f>
        <v>463709.62971999991</v>
      </c>
      <c r="L33" s="49">
        <f>L6+L5</f>
        <v>12418143.883901598</v>
      </c>
      <c r="M33" s="2"/>
    </row>
    <row r="34" spans="1:13" x14ac:dyDescent="0.3">
      <c r="A34" s="2"/>
      <c r="B34" s="2"/>
      <c r="C34" s="19"/>
      <c r="D34" s="51" t="s">
        <v>38</v>
      </c>
      <c r="E34" s="67">
        <f>IRR(F34:L34)</f>
        <v>0.14999999999999991</v>
      </c>
      <c r="F34" s="49">
        <f>-F16</f>
        <v>-2000000</v>
      </c>
      <c r="G34" s="54">
        <f>G19+G5</f>
        <v>2300000</v>
      </c>
      <c r="H34" s="51"/>
      <c r="I34" s="51"/>
      <c r="J34" s="51"/>
      <c r="K34" s="51"/>
      <c r="L34" s="51"/>
      <c r="M34" s="2"/>
    </row>
    <row r="35" spans="1:13" x14ac:dyDescent="0.3">
      <c r="A35" s="2"/>
      <c r="B35" s="2"/>
      <c r="C35" s="56"/>
      <c r="D35" s="57" t="s">
        <v>39</v>
      </c>
      <c r="E35" s="68">
        <f>IRR(F35:L35)</f>
        <v>7.1200000000000152E-2</v>
      </c>
      <c r="F35" s="57"/>
      <c r="G35" s="58">
        <f>-G5</f>
        <v>-10300000</v>
      </c>
      <c r="H35" s="58">
        <f>H6</f>
        <v>424360</v>
      </c>
      <c r="I35" s="58">
        <f>I6</f>
        <v>437090.8</v>
      </c>
      <c r="J35" s="58">
        <f>J6</f>
        <v>450203.52399999998</v>
      </c>
      <c r="K35" s="58">
        <f>K6</f>
        <v>463709.62971999991</v>
      </c>
      <c r="L35" s="58">
        <f>L6+L5</f>
        <v>12418143.883901598</v>
      </c>
      <c r="M35" s="2"/>
    </row>
    <row r="36" spans="1:13" x14ac:dyDescent="0.3">
      <c r="A36" s="2"/>
      <c r="B36" s="2"/>
      <c r="C36" s="19" t="s">
        <v>13</v>
      </c>
      <c r="D36" s="59" t="s">
        <v>37</v>
      </c>
      <c r="E36" s="69">
        <f>IRR(F36:L36)</f>
        <v>0.13382732747846249</v>
      </c>
      <c r="F36" s="60">
        <f>-F16</f>
        <v>-2000000</v>
      </c>
      <c r="G36" s="61">
        <v>0</v>
      </c>
      <c r="H36" s="60">
        <f>H12</f>
        <v>24360</v>
      </c>
      <c r="I36" s="60">
        <f>I12</f>
        <v>37090.799999999988</v>
      </c>
      <c r="J36" s="60">
        <f>J12</f>
        <v>50203.523999999976</v>
      </c>
      <c r="K36" s="60">
        <f>K12</f>
        <v>63709.62971999991</v>
      </c>
      <c r="L36" s="60">
        <f>L12+(L5-L10)</f>
        <v>4018143.8839015989</v>
      </c>
      <c r="M36" s="2"/>
    </row>
    <row r="37" spans="1:13" x14ac:dyDescent="0.3">
      <c r="A37" s="2"/>
      <c r="B37" s="2"/>
      <c r="C37" s="19"/>
      <c r="D37" s="59" t="s">
        <v>38</v>
      </c>
      <c r="E37" s="69">
        <f>IRR(F37:L37)</f>
        <v>0.14999999999999991</v>
      </c>
      <c r="F37" s="60">
        <f>-F16</f>
        <v>-2000000</v>
      </c>
      <c r="G37" s="60">
        <f>G19+G5</f>
        <v>2300000</v>
      </c>
      <c r="H37" s="59"/>
      <c r="I37" s="59"/>
      <c r="J37" s="59"/>
      <c r="K37" s="59"/>
      <c r="L37" s="59"/>
      <c r="M37" s="2"/>
    </row>
    <row r="38" spans="1:13" x14ac:dyDescent="0.3">
      <c r="A38" s="2"/>
      <c r="B38" s="2"/>
      <c r="C38" s="56"/>
      <c r="D38" s="62" t="s">
        <v>39</v>
      </c>
      <c r="E38" s="70">
        <f>IRR(F38:L38)</f>
        <v>0.13053944207483315</v>
      </c>
      <c r="F38" s="62"/>
      <c r="G38" s="63">
        <f>-(G5-G18)</f>
        <v>-2300000</v>
      </c>
      <c r="H38" s="63">
        <f>H12</f>
        <v>24360</v>
      </c>
      <c r="I38" s="63">
        <f t="shared" ref="I38:K38" si="9">I12</f>
        <v>37090.799999999988</v>
      </c>
      <c r="J38" s="63">
        <f t="shared" si="9"/>
        <v>50203.523999999976</v>
      </c>
      <c r="K38" s="63">
        <f t="shared" si="9"/>
        <v>63709.62971999991</v>
      </c>
      <c r="L38" s="63">
        <f>L36</f>
        <v>4018143.8839015989</v>
      </c>
      <c r="M38" s="2"/>
    </row>
    <row r="39" spans="1:13" x14ac:dyDescent="0.3">
      <c r="A39" s="2"/>
      <c r="B39" s="2"/>
      <c r="C39" s="19" t="s">
        <v>12</v>
      </c>
      <c r="D39" s="51" t="s">
        <v>37</v>
      </c>
      <c r="E39" s="67">
        <f>IRR(F39:L39)</f>
        <v>0.11604919134599223</v>
      </c>
      <c r="F39" s="54">
        <f>-F24 + IF(F12-F26-F28 &gt;= 0, F26+F28+$C$13*(F12-F26-F28),0)</f>
        <v>-1800000</v>
      </c>
      <c r="G39" s="55">
        <v>0</v>
      </c>
      <c r="H39" s="54">
        <f>-H24 + IF(H12-H26-H28 &gt;= 0, H26+H28+$C$13*(H12-H26-H28),0)</f>
        <v>24360</v>
      </c>
      <c r="I39" s="54">
        <f>-I24 + IF(I12-I26-I28 &gt;= 0, I26+I28+$C$13*(I12-I26-I28),0)</f>
        <v>37090.799999999988</v>
      </c>
      <c r="J39" s="54">
        <f>-J24 + IF(J12-J26-J28 &gt;= 0, J26+J28+$C$13*(J12-J26-J28),0)</f>
        <v>50203.523999999976</v>
      </c>
      <c r="K39" s="54">
        <f>-K24 + IF(K12-K26-K28 &gt;= 0, K26+K28+$C$13*(K12-K26-K28),0)</f>
        <v>63709.62971999991</v>
      </c>
      <c r="L39" s="54">
        <f>-L24 + IF(L12-L26-L28 &gt;= 0, L26+L28+$C$13*(L12-L26-L28),0)+L29+$C$13*(L5-L10-F16)</f>
        <v>3255355.777680628</v>
      </c>
      <c r="M39" s="2"/>
    </row>
    <row r="40" spans="1:13" x14ac:dyDescent="0.3">
      <c r="A40" s="2"/>
      <c r="B40" s="2"/>
      <c r="C40" s="56"/>
      <c r="D40" s="57" t="s">
        <v>38</v>
      </c>
      <c r="E40" s="68">
        <f>IRR(F40:L40)</f>
        <v>0.11083333333333312</v>
      </c>
      <c r="F40" s="58">
        <f>-F24</f>
        <v>-1800000</v>
      </c>
      <c r="G40" s="58">
        <f>MIN(G37,MAX(G29,G29+(G37-G29-(1-C11)*C5)*C13))</f>
        <v>1999500</v>
      </c>
      <c r="H40" s="57"/>
      <c r="I40" s="57"/>
      <c r="J40" s="57"/>
      <c r="K40" s="57"/>
      <c r="L40" s="57"/>
      <c r="M40" s="2"/>
    </row>
    <row r="41" spans="1:13" x14ac:dyDescent="0.3">
      <c r="A41" s="2"/>
      <c r="B41" s="2"/>
      <c r="C41" s="19" t="s">
        <v>14</v>
      </c>
      <c r="D41" s="59" t="s">
        <v>37</v>
      </c>
      <c r="E41" s="69">
        <f>IRR(F41:L41)</f>
        <v>0.24995866878901918</v>
      </c>
      <c r="F41" s="60">
        <f>F36-F39</f>
        <v>-200000</v>
      </c>
      <c r="G41" s="64">
        <v>0</v>
      </c>
      <c r="H41" s="64">
        <f>H36-H39</f>
        <v>0</v>
      </c>
      <c r="I41" s="64">
        <f>I36-I39</f>
        <v>0</v>
      </c>
      <c r="J41" s="64">
        <f>J36-J39</f>
        <v>0</v>
      </c>
      <c r="K41" s="64">
        <f>K36-K39</f>
        <v>0</v>
      </c>
      <c r="L41" s="60">
        <f>L36-L39</f>
        <v>762788.10622097086</v>
      </c>
      <c r="M41" s="2"/>
    </row>
    <row r="42" spans="1:13" ht="14.5" thickBot="1" x14ac:dyDescent="0.35">
      <c r="A42" s="2"/>
      <c r="B42" s="2"/>
      <c r="C42" s="18"/>
      <c r="D42" s="65" t="s">
        <v>38</v>
      </c>
      <c r="E42" s="71">
        <f>IRR(F42:G42)</f>
        <v>0.50250000000000017</v>
      </c>
      <c r="F42" s="66">
        <f>F41</f>
        <v>-200000</v>
      </c>
      <c r="G42" s="66">
        <f>G37-G40</f>
        <v>300500</v>
      </c>
      <c r="H42" s="65"/>
      <c r="I42" s="65"/>
      <c r="J42" s="65"/>
      <c r="K42" s="65"/>
      <c r="L42" s="65"/>
      <c r="M42" s="50"/>
    </row>
    <row r="43" spans="1:13" ht="14.5" thickTop="1" x14ac:dyDescent="0.3">
      <c r="A43" s="2"/>
      <c r="B43" s="2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2"/>
    </row>
  </sheetData>
  <mergeCells count="8">
    <mergeCell ref="D31:L31"/>
    <mergeCell ref="E14:L14"/>
    <mergeCell ref="E21:L21"/>
    <mergeCell ref="B10:C10"/>
    <mergeCell ref="B3:C3"/>
    <mergeCell ref="B8:C8"/>
    <mergeCell ref="E3:L3"/>
    <mergeCell ref="E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Minne, Alex</dc:creator>
  <cp:lastModifiedBy>Van De Minne, Alex</cp:lastModifiedBy>
  <dcterms:created xsi:type="dcterms:W3CDTF">2024-11-23T22:00:01Z</dcterms:created>
  <dcterms:modified xsi:type="dcterms:W3CDTF">2024-11-25T20:09:14Z</dcterms:modified>
</cp:coreProperties>
</file>