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3eb6ff97e000b03/Desktop/Teaching ^0 Books/MSRE Dev Feas 2022/Algonquin HW/"/>
    </mc:Choice>
  </mc:AlternateContent>
  <xr:revisionPtr revIDLastSave="3" documentId="13_ncr:1_{65CB593B-512F-4F64-B66C-CC6E9EBD3374}" xr6:coauthVersionLast="47" xr6:coauthVersionMax="47" xr10:uidLastSave="{CC8FB6D9-81FD-490C-ADBD-3B9FE893A248}"/>
  <bookViews>
    <workbookView xWindow="-108" yWindow="-108" windowWidth="23256" windowHeight="12456" tabRatio="703" firstSheet="1" activeTab="7" xr2:uid="{4AB071F2-2079-4B91-8EB1-461F75E367C5}"/>
  </bookViews>
  <sheets>
    <sheet name="Conclusions" sheetId="6" r:id="rId1"/>
    <sheet name="ASSIGNMENT" sheetId="7" r:id="rId2"/>
    <sheet name="Assumptions" sheetId="1" r:id="rId3"/>
    <sheet name="Land Residual Value" sheetId="8" r:id="rId4"/>
    <sheet name="Supportable Mortgage" sheetId="5" r:id="rId5"/>
    <sheet name="Sensitivity" sheetId="4" r:id="rId6"/>
    <sheet name="Market Support" sheetId="3" r:id="rId7"/>
    <sheet name="Site Aerial" sheetId="11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4" i="8" l="1"/>
  <c r="C25" i="8"/>
  <c r="B18" i="8"/>
  <c r="C40" i="8" l="1"/>
  <c r="C24" i="4"/>
  <c r="I26" i="4"/>
  <c r="H26" i="4"/>
  <c r="G26" i="4"/>
  <c r="F26" i="4"/>
  <c r="E26" i="4"/>
  <c r="I25" i="4"/>
  <c r="H25" i="4"/>
  <c r="G25" i="4"/>
  <c r="F25" i="4"/>
  <c r="E25" i="4"/>
  <c r="I24" i="4"/>
  <c r="H24" i="4"/>
  <c r="G24" i="4"/>
  <c r="F24" i="4"/>
  <c r="E24" i="4"/>
  <c r="I23" i="4"/>
  <c r="H23" i="4"/>
  <c r="G23" i="4"/>
  <c r="F23" i="4"/>
  <c r="E23" i="4"/>
  <c r="I22" i="4"/>
  <c r="H22" i="4"/>
  <c r="G22" i="4"/>
  <c r="F22" i="4"/>
  <c r="E22" i="4"/>
  <c r="G21" i="4"/>
  <c r="B9" i="5"/>
  <c r="B4" i="5"/>
  <c r="H25" i="8"/>
  <c r="D25" i="4"/>
  <c r="D26" i="4" s="1"/>
  <c r="D23" i="4"/>
  <c r="D22" i="4" s="1"/>
  <c r="D9" i="4"/>
  <c r="D10" i="4" s="1"/>
  <c r="D7" i="4"/>
  <c r="D6" i="4" s="1"/>
  <c r="H20" i="4"/>
  <c r="I20" i="4" s="1"/>
  <c r="F20" i="4"/>
  <c r="E20" i="4" s="1"/>
  <c r="F4" i="4"/>
  <c r="E4" i="4" s="1"/>
  <c r="H4" i="4"/>
  <c r="I4" i="4" s="1"/>
  <c r="G5" i="4"/>
  <c r="H32" i="8" l="1"/>
  <c r="H26" i="8"/>
  <c r="G26" i="8"/>
  <c r="G25" i="8"/>
  <c r="I14" i="8"/>
  <c r="G14" i="8"/>
  <c r="I13" i="8"/>
  <c r="G13" i="8"/>
  <c r="I12" i="8"/>
  <c r="G12" i="8"/>
  <c r="H7" i="8"/>
  <c r="B37" i="8"/>
  <c r="B36" i="8"/>
  <c r="C32" i="8"/>
  <c r="C26" i="8"/>
  <c r="B26" i="8"/>
  <c r="B25" i="8"/>
  <c r="B24" i="8"/>
  <c r="B17" i="8"/>
  <c r="C16" i="8"/>
  <c r="B16" i="8"/>
  <c r="C15" i="8"/>
  <c r="C14" i="8"/>
  <c r="N10" i="8"/>
  <c r="B10" i="8"/>
  <c r="N8" i="8"/>
  <c r="B8" i="8"/>
  <c r="C7" i="8"/>
  <c r="R6" i="8"/>
  <c r="P6" i="8"/>
  <c r="C6" i="8"/>
  <c r="F14" i="3"/>
  <c r="F13" i="3"/>
  <c r="F12" i="3"/>
  <c r="E14" i="3"/>
  <c r="E13" i="3"/>
  <c r="E12" i="3"/>
  <c r="E26" i="3"/>
  <c r="E27" i="3"/>
  <c r="E28" i="3"/>
  <c r="F19" i="3"/>
  <c r="F26" i="3" s="1"/>
  <c r="O6" i="8" l="1"/>
  <c r="E21" i="4" s="1"/>
  <c r="F21" i="4"/>
  <c r="N7" i="8"/>
  <c r="C22" i="4" s="1"/>
  <c r="C23" i="4"/>
  <c r="S6" i="8"/>
  <c r="I21" i="4" s="1"/>
  <c r="H21" i="4"/>
  <c r="N11" i="8"/>
  <c r="C26" i="4" s="1"/>
  <c r="C25" i="4"/>
  <c r="C28" i="8"/>
  <c r="C37" i="8" s="1"/>
  <c r="C8" i="8"/>
  <c r="F28" i="3"/>
  <c r="F27" i="3"/>
  <c r="C28" i="1"/>
  <c r="E29" i="4"/>
  <c r="C8" i="4"/>
  <c r="I10" i="4"/>
  <c r="H10" i="4"/>
  <c r="G10" i="4"/>
  <c r="F10" i="4"/>
  <c r="E10" i="4"/>
  <c r="I9" i="4"/>
  <c r="H9" i="4"/>
  <c r="G9" i="4"/>
  <c r="F9" i="4"/>
  <c r="E9" i="4"/>
  <c r="I8" i="4"/>
  <c r="H8" i="4"/>
  <c r="G8" i="4"/>
  <c r="E13" i="4" s="1"/>
  <c r="F8" i="4"/>
  <c r="E8" i="4"/>
  <c r="I7" i="4"/>
  <c r="H7" i="4"/>
  <c r="G7" i="4"/>
  <c r="F7" i="4"/>
  <c r="E7" i="4"/>
  <c r="I6" i="4"/>
  <c r="H6" i="4"/>
  <c r="G6" i="4"/>
  <c r="F6" i="4"/>
  <c r="E6" i="4"/>
  <c r="E30" i="4" l="1"/>
  <c r="E21" i="6"/>
  <c r="E28" i="4"/>
  <c r="E20" i="6"/>
  <c r="E14" i="4"/>
  <c r="E14" i="6"/>
  <c r="E12" i="4"/>
  <c r="E13" i="6"/>
  <c r="S7" i="1" l="1"/>
  <c r="S5" i="1"/>
  <c r="U3" i="1"/>
  <c r="F5" i="4" s="1"/>
  <c r="W3" i="1"/>
  <c r="H5" i="4" s="1"/>
  <c r="B13" i="5"/>
  <c r="C12" i="5"/>
  <c r="B12" i="5"/>
  <c r="C10" i="5"/>
  <c r="B10" i="5"/>
  <c r="C5" i="5"/>
  <c r="B5" i="5"/>
  <c r="B22" i="5"/>
  <c r="C22" i="5"/>
  <c r="C19" i="5"/>
  <c r="B19" i="5"/>
  <c r="C18" i="5"/>
  <c r="B18" i="5"/>
  <c r="C17" i="5"/>
  <c r="B17" i="5"/>
  <c r="G11" i="1"/>
  <c r="G12" i="1" s="1"/>
  <c r="F10" i="1"/>
  <c r="H10" i="1"/>
  <c r="F8" i="1"/>
  <c r="H8" i="1"/>
  <c r="F5" i="1"/>
  <c r="H5" i="1"/>
  <c r="C16" i="1"/>
  <c r="C15" i="1"/>
  <c r="C13" i="5" s="1"/>
  <c r="C5" i="1"/>
  <c r="S4" i="1" l="1"/>
  <c r="C6" i="4" s="1"/>
  <c r="C7" i="4"/>
  <c r="T3" i="1"/>
  <c r="E5" i="4" s="1"/>
  <c r="S8" i="1"/>
  <c r="C10" i="4" s="1"/>
  <c r="C9" i="4"/>
  <c r="X3" i="1"/>
  <c r="I5" i="4" s="1"/>
  <c r="F11" i="1"/>
  <c r="F12" i="1" s="1"/>
  <c r="H11" i="1"/>
  <c r="H12" i="1" s="1"/>
  <c r="L5" i="1" l="1"/>
  <c r="O5" i="1"/>
  <c r="N5" i="1"/>
  <c r="M5" i="1"/>
  <c r="K5" i="1"/>
  <c r="C24" i="1"/>
  <c r="C17" i="8" s="1"/>
  <c r="C5" i="8" l="1"/>
  <c r="C9" i="8" s="1"/>
  <c r="C10" i="8" s="1"/>
  <c r="C11" i="8" s="1"/>
  <c r="C18" i="8" s="1"/>
  <c r="C19" i="8" s="1"/>
  <c r="C21" i="8" s="1"/>
  <c r="C31" i="8" l="1"/>
  <c r="C33" i="8" s="1"/>
  <c r="E11" i="6" s="1"/>
  <c r="C9" i="5"/>
  <c r="C4" i="5" l="1"/>
  <c r="S3" i="1"/>
  <c r="I18" i="8"/>
  <c r="C36" i="8"/>
  <c r="C38" i="8" s="1"/>
  <c r="C20" i="5" s="1"/>
  <c r="D25" i="8" l="1"/>
  <c r="E16" i="6"/>
  <c r="I15" i="8"/>
  <c r="I16" i="8" s="1"/>
  <c r="I9" i="8" s="1"/>
  <c r="D26" i="8"/>
  <c r="D27" i="8"/>
  <c r="D24" i="8"/>
  <c r="N6" i="8"/>
  <c r="D38" i="8"/>
  <c r="I19" i="8"/>
  <c r="I20" i="8" s="1"/>
  <c r="C11" i="5"/>
  <c r="C14" i="5" s="1"/>
  <c r="I8" i="8" l="1"/>
  <c r="I31" i="8"/>
  <c r="I6" i="8" l="1"/>
  <c r="I25" i="8" s="1"/>
  <c r="K31" i="8" s="1"/>
  <c r="I32" i="8"/>
  <c r="C6" i="5"/>
  <c r="I7" i="8" l="1"/>
  <c r="I26" i="8" s="1"/>
  <c r="I27" i="8" s="1"/>
  <c r="J31" i="8"/>
  <c r="I33" i="8"/>
  <c r="C21" i="5"/>
  <c r="C23" i="5" s="1"/>
  <c r="C25" i="5" s="1"/>
  <c r="K32" i="8" l="1"/>
  <c r="J32" i="8"/>
  <c r="C26" i="5"/>
  <c r="E8" i="6" s="1"/>
  <c r="E7" i="6"/>
</calcChain>
</file>

<file path=xl/sharedStrings.xml><?xml version="1.0" encoding="utf-8"?>
<sst xmlns="http://schemas.openxmlformats.org/spreadsheetml/2006/main" count="256" uniqueCount="165">
  <si>
    <t>Loan Assumptions</t>
  </si>
  <si>
    <t>Amortization Period (Months)</t>
  </si>
  <si>
    <t>Balloon Payment Due (Months)</t>
  </si>
  <si>
    <t>Income</t>
  </si>
  <si>
    <t>Construction Expenses</t>
  </si>
  <si>
    <t>Hard Costs</t>
  </si>
  <si>
    <t>Soft Costs</t>
  </si>
  <si>
    <t>Developer Fee</t>
  </si>
  <si>
    <t>Expenses</t>
  </si>
  <si>
    <t>Reserves for Replacement ($/Yr)</t>
  </si>
  <si>
    <t>Potential Gross Rent</t>
  </si>
  <si>
    <t>Effective Gross Income</t>
  </si>
  <si>
    <t>Net Operating Income</t>
  </si>
  <si>
    <t>Stabilized Valuation</t>
  </si>
  <si>
    <t>Cash Flow Analysis</t>
  </si>
  <si>
    <t>Rent</t>
  </si>
  <si>
    <t>Valuation Sensitivity</t>
  </si>
  <si>
    <t>Assumptions</t>
  </si>
  <si>
    <t>Land Valuation Analysis</t>
  </si>
  <si>
    <t>Address</t>
  </si>
  <si>
    <t>City</t>
  </si>
  <si>
    <t>High</t>
  </si>
  <si>
    <t>Ave</t>
  </si>
  <si>
    <t>Low</t>
  </si>
  <si>
    <t>State</t>
  </si>
  <si>
    <t>Rate ($/SF/Yr)</t>
  </si>
  <si>
    <t>Type</t>
  </si>
  <si>
    <t>NNN</t>
  </si>
  <si>
    <t>Use</t>
  </si>
  <si>
    <t>Retail</t>
  </si>
  <si>
    <t>290 N Randall Rd</t>
  </si>
  <si>
    <t>Lake in the Hills</t>
  </si>
  <si>
    <t>IL</t>
  </si>
  <si>
    <t>Algonquin</t>
  </si>
  <si>
    <t>1517 S Randall Rd</t>
  </si>
  <si>
    <t>https://www.loopnet.com/Listing/1515-1519-S-Randall-Rd-Algonquin-IL/14188124/</t>
  </si>
  <si>
    <t>https://www.loopnet.com/Listing/290-N-Randall-Rd-Lake-In-The-Hills-IL/18394981/</t>
  </si>
  <si>
    <t>410 S Randall Rd</t>
  </si>
  <si>
    <t>https://www.loopnet.com/Listing/410-S-Randall-Rd-Algonquin-IL/22238115/</t>
  </si>
  <si>
    <t>435 Angela Ln</t>
  </si>
  <si>
    <t>Crystal Lake</t>
  </si>
  <si>
    <t>https://www.loopnet.com/Listing/435-Angela-Ln-Crystal-Lake-IL/14241612/</t>
  </si>
  <si>
    <t>1461-1535 Shaumburg Rd</t>
  </si>
  <si>
    <t>Shaumburg</t>
  </si>
  <si>
    <t>https://www.loopnet.com/Listing/1461-1535-Schaumburg-Rd-Schaumburg-IL/16130527/</t>
  </si>
  <si>
    <t>465 Summit St</t>
  </si>
  <si>
    <t>Elgin</t>
  </si>
  <si>
    <t>https://www.loopnet.com/Listing/465-Summit-St-Elgin-IL/4289595/</t>
  </si>
  <si>
    <t>Site Area (sf)</t>
  </si>
  <si>
    <t>Site Area (AC)</t>
  </si>
  <si>
    <t>Site Dimensions</t>
  </si>
  <si>
    <t>Gross Building Area (sf)</t>
  </si>
  <si>
    <t>Net Rentable Area (sf)</t>
  </si>
  <si>
    <t>Cap Rate</t>
  </si>
  <si>
    <t>Maximum Loan To Cost</t>
  </si>
  <si>
    <t xml:space="preserve">Minimum Debt Coverage Ratio </t>
  </si>
  <si>
    <t>Maximum LTV (Stabilized Value)</t>
  </si>
  <si>
    <t>Baseline Cost</t>
  </si>
  <si>
    <t>Downside Scenario (+5%)</t>
  </si>
  <si>
    <t>Upside Scenario (-5%)</t>
  </si>
  <si>
    <t>Upside Scenario (-10%)</t>
  </si>
  <si>
    <t>Downside Scenario (+10%)</t>
  </si>
  <si>
    <t>Cost PSF (Gross Building Area)</t>
  </si>
  <si>
    <t>Scenario</t>
  </si>
  <si>
    <t>Total Construction Costs (Excluding Land)</t>
  </si>
  <si>
    <t>Base Rent $ (Annual)</t>
  </si>
  <si>
    <t>Base Rent $/sf (Annual)</t>
  </si>
  <si>
    <t>Reserves for Replacement ($/sf/Yr)</t>
  </si>
  <si>
    <t>Tax Recoveries</t>
  </si>
  <si>
    <t>Total Potential Gross Income</t>
  </si>
  <si>
    <t>Tax Expense ($/sf/Yr)</t>
  </si>
  <si>
    <t>Non-Reimbursed Accounting Expense ($/Yr)</t>
  </si>
  <si>
    <t>Annual Vacancy Rate (/Yr)</t>
  </si>
  <si>
    <t>Interest Rate (/Yr)</t>
  </si>
  <si>
    <t>Tax Expense</t>
  </si>
  <si>
    <t>Total Billable NNNs ($/sf)</t>
  </si>
  <si>
    <t>Property Management Fee (% of EGI)</t>
  </si>
  <si>
    <t>*Comparable Fee from shopping center REIT</t>
  </si>
  <si>
    <t>Baseline</t>
  </si>
  <si>
    <t>Total Operating Expenses</t>
  </si>
  <si>
    <t>Baseline Rent</t>
  </si>
  <si>
    <t>Upside Scenario</t>
  </si>
  <si>
    <t>Downside Scenario</t>
  </si>
  <si>
    <t>Project Costs Excluding Land</t>
  </si>
  <si>
    <t>Total Project Costs Excluding Land</t>
  </si>
  <si>
    <t>Land Residual Value (Baseline Rent &amp; Costs)</t>
  </si>
  <si>
    <t>Land Residual Value (Baseline Assumptions)</t>
  </si>
  <si>
    <t>Land Value</t>
  </si>
  <si>
    <t>Total Project Costs</t>
  </si>
  <si>
    <t>Max Loan Proceeds</t>
  </si>
  <si>
    <t>Maximum Debt Service Allowed (/Yr)</t>
  </si>
  <si>
    <t>Max Supportable Mortgage</t>
  </si>
  <si>
    <t>Most Restrictive Analysis Method</t>
  </si>
  <si>
    <t>Loan to Value</t>
  </si>
  <si>
    <t>Debt Service Coverage Ratio</t>
  </si>
  <si>
    <t>Loan to Cost</t>
  </si>
  <si>
    <t>Rent Step</t>
  </si>
  <si>
    <t>Cap Rate Step</t>
  </si>
  <si>
    <t>Upside</t>
  </si>
  <si>
    <t>Downside</t>
  </si>
  <si>
    <t>Alex Allione, Kevin Hale, JT Williams</t>
  </si>
  <si>
    <t>2. What is the value of the project?</t>
  </si>
  <si>
    <t>1. What is the supportable mortgage?</t>
  </si>
  <si>
    <t>3. What is the maximum land value?</t>
  </si>
  <si>
    <t>Hard Costs Step</t>
  </si>
  <si>
    <t>Soft Costs Step</t>
  </si>
  <si>
    <t>Land Residual Value Sensitivity</t>
  </si>
  <si>
    <t>Land Residual Value Analysis</t>
  </si>
  <si>
    <t>MSRE 516 Feasibility and Development</t>
  </si>
  <si>
    <t>February 23, 2021</t>
  </si>
  <si>
    <t>*</t>
  </si>
  <si>
    <t>Base Rent</t>
  </si>
  <si>
    <t>CAM &amp; Insurance Expense ($/sf/Yr)</t>
  </si>
  <si>
    <t>*2021 Rate for Comparable Illinois Suburb Power Center (Hawthorn Hills)</t>
  </si>
  <si>
    <t>CAM &amp; Insurance Recoveries</t>
  </si>
  <si>
    <t>Vernon Hills</t>
  </si>
  <si>
    <t>Lease Comparables - (2,000-5,000 SF)</t>
  </si>
  <si>
    <t>Lease Sale Comparables - Anchor Space</t>
  </si>
  <si>
    <t>GLA</t>
  </si>
  <si>
    <t>Dicks Sporting Goods</t>
  </si>
  <si>
    <t>PetSmart</t>
  </si>
  <si>
    <t>Hawthorne Hills S.C., lease as of 2/2021</t>
  </si>
  <si>
    <t>Old Navy</t>
  </si>
  <si>
    <t>Skokie Point S.C., lease as of 2/2021</t>
  </si>
  <si>
    <t>Skokie</t>
  </si>
  <si>
    <t>ULTA</t>
  </si>
  <si>
    <t>Mattress Firm</t>
  </si>
  <si>
    <t>Wind Point S.C., lease as of 2/2021</t>
  </si>
  <si>
    <t>Batavia</t>
  </si>
  <si>
    <t>Noodles and Company</t>
  </si>
  <si>
    <t>Massage Envy</t>
  </si>
  <si>
    <t>(See Sensitivity Tab)</t>
  </si>
  <si>
    <t>b) Downside scenario value is</t>
  </si>
  <si>
    <t>a) Upside scenario value is</t>
  </si>
  <si>
    <t>*Uses baseline case for revenues and costs</t>
  </si>
  <si>
    <t>Common Area Maintenance &amp; Insurance Expense</t>
  </si>
  <si>
    <t>Asking Price:</t>
  </si>
  <si>
    <t>Equity Investment</t>
  </si>
  <si>
    <t>Uses:</t>
  </si>
  <si>
    <t>Sources:</t>
  </si>
  <si>
    <t>Total Sources:</t>
  </si>
  <si>
    <t>Max Loan Proceeds (LTC)</t>
  </si>
  <si>
    <t>Co-Invest:</t>
  </si>
  <si>
    <t>Developer</t>
  </si>
  <si>
    <t xml:space="preserve">Investors </t>
  </si>
  <si>
    <t>Total Equity Invest</t>
  </si>
  <si>
    <t>Total Project Cost</t>
  </si>
  <si>
    <t>Total Gross Profit</t>
  </si>
  <si>
    <t>Equity Multiple:</t>
  </si>
  <si>
    <t>ROE:</t>
  </si>
  <si>
    <t>Participation/Promote:</t>
  </si>
  <si>
    <t>(Profit on Cost)</t>
  </si>
  <si>
    <t>(% of Cost)</t>
  </si>
  <si>
    <t>Asking Price</t>
  </si>
  <si>
    <t>a) Most restrictive analysis method</t>
  </si>
  <si>
    <t>b) Loan to Cost uses the lesser of land asking price or residual land value</t>
  </si>
  <si>
    <t>The listing price is $22,000,000. Assuming no competitive bidding environment, there is no need to pay more than this.</t>
  </si>
  <si>
    <t>Supportable Mortgage (Loan Sizing)</t>
  </si>
  <si>
    <t>*Uses lesser of land listing price or residual land value</t>
  </si>
  <si>
    <t>Equity Investor's Profit</t>
  </si>
  <si>
    <t>The maximum land value is based on the residual land value solving for a 1.75X equity multiple for the equity investors.</t>
  </si>
  <si>
    <t>CAM Administrative Fee</t>
  </si>
  <si>
    <t>*Typical Land Residual Value is between 30-35% of Total Costs per Jake Schwartz</t>
  </si>
  <si>
    <t>Recommended Initial Bid</t>
  </si>
  <si>
    <t>*Recommend initial offer at 9% below the asking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</si>
</sst>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#0.00\X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u/>
      <sz val="12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24">
    <xf numFmtId="0" fontId="0" fillId="0" borderId="0" xfId="0"/>
    <xf numFmtId="0" fontId="0" fillId="0" borderId="3" xfId="0" applyBorder="1"/>
    <xf numFmtId="9" fontId="0" fillId="0" borderId="4" xfId="0" applyNumberFormat="1" applyBorder="1"/>
    <xf numFmtId="0" fontId="0" fillId="0" borderId="4" xfId="0" applyBorder="1"/>
    <xf numFmtId="0" fontId="0" fillId="0" borderId="5" xfId="0" applyBorder="1"/>
    <xf numFmtId="0" fontId="2" fillId="0" borderId="0" xfId="0" applyFont="1"/>
    <xf numFmtId="0" fontId="0" fillId="0" borderId="11" xfId="0" applyBorder="1"/>
    <xf numFmtId="0" fontId="0" fillId="0" borderId="6" xfId="0" applyBorder="1"/>
    <xf numFmtId="164" fontId="0" fillId="0" borderId="6" xfId="1" applyNumberFormat="1" applyFont="1" applyBorder="1"/>
    <xf numFmtId="10" fontId="0" fillId="0" borderId="3" xfId="3" applyNumberFormat="1" applyFont="1" applyBorder="1"/>
    <xf numFmtId="0" fontId="2" fillId="0" borderId="0" xfId="0" applyFont="1" applyAlignment="1">
      <alignment horizontal="right"/>
    </xf>
    <xf numFmtId="0" fontId="5" fillId="0" borderId="0" xfId="0" applyFont="1"/>
    <xf numFmtId="0" fontId="2" fillId="0" borderId="21" xfId="0" applyFont="1" applyBorder="1"/>
    <xf numFmtId="0" fontId="2" fillId="3" borderId="22" xfId="0" applyFont="1" applyFill="1" applyBorder="1"/>
    <xf numFmtId="0" fontId="2" fillId="0" borderId="23" xfId="0" applyFont="1" applyBorder="1"/>
    <xf numFmtId="164" fontId="0" fillId="3" borderId="4" xfId="1" applyNumberFormat="1" applyFont="1" applyFill="1" applyBorder="1"/>
    <xf numFmtId="164" fontId="0" fillId="0" borderId="2" xfId="2" applyNumberFormat="1" applyFont="1" applyBorder="1"/>
    <xf numFmtId="6" fontId="3" fillId="0" borderId="0" xfId="0" applyNumberFormat="1" applyFont="1"/>
    <xf numFmtId="0" fontId="0" fillId="0" borderId="1" xfId="0" applyBorder="1" applyAlignment="1">
      <alignment horizontal="left"/>
    </xf>
    <xf numFmtId="3" fontId="7" fillId="0" borderId="4" xfId="0" applyNumberFormat="1" applyFont="1" applyBorder="1" applyAlignment="1">
      <alignment horizontal="right"/>
    </xf>
    <xf numFmtId="3" fontId="7" fillId="0" borderId="2" xfId="0" applyNumberFormat="1" applyFont="1" applyBorder="1" applyAlignment="1">
      <alignment horizontal="right"/>
    </xf>
    <xf numFmtId="3" fontId="7" fillId="0" borderId="4" xfId="1" applyNumberFormat="1" applyFont="1" applyBorder="1" applyAlignment="1">
      <alignment horizontal="right"/>
    </xf>
    <xf numFmtId="3" fontId="7" fillId="0" borderId="6" xfId="1" applyNumberFormat="1" applyFont="1" applyBorder="1" applyAlignment="1">
      <alignment horizontal="right"/>
    </xf>
    <xf numFmtId="9" fontId="7" fillId="0" borderId="4" xfId="0" applyNumberFormat="1" applyFont="1" applyBorder="1"/>
    <xf numFmtId="10" fontId="7" fillId="0" borderId="4" xfId="0" applyNumberFormat="1" applyFont="1" applyBorder="1"/>
    <xf numFmtId="0" fontId="7" fillId="0" borderId="4" xfId="0" applyFont="1" applyBorder="1"/>
    <xf numFmtId="9" fontId="7" fillId="0" borderId="6" xfId="0" applyNumberFormat="1" applyFont="1" applyBorder="1"/>
    <xf numFmtId="9" fontId="0" fillId="0" borderId="0" xfId="0" applyNumberFormat="1"/>
    <xf numFmtId="6" fontId="7" fillId="0" borderId="0" xfId="2" applyNumberFormat="1" applyFont="1" applyBorder="1" applyAlignment="1">
      <alignment horizontal="center"/>
    </xf>
    <xf numFmtId="0" fontId="0" fillId="0" borderId="1" xfId="0" applyBorder="1"/>
    <xf numFmtId="6" fontId="7" fillId="0" borderId="12" xfId="0" applyNumberFormat="1" applyFont="1" applyBorder="1" applyAlignment="1">
      <alignment horizontal="center"/>
    </xf>
    <xf numFmtId="6" fontId="0" fillId="0" borderId="12" xfId="0" applyNumberFormat="1" applyBorder="1" applyAlignment="1">
      <alignment horizontal="center"/>
    </xf>
    <xf numFmtId="6" fontId="7" fillId="0" borderId="2" xfId="0" applyNumberFormat="1" applyFont="1" applyBorder="1" applyAlignment="1">
      <alignment horizontal="center"/>
    </xf>
    <xf numFmtId="6" fontId="7" fillId="0" borderId="4" xfId="2" applyNumberFormat="1" applyFont="1" applyBorder="1" applyAlignment="1">
      <alignment horizontal="center"/>
    </xf>
    <xf numFmtId="8" fontId="0" fillId="0" borderId="11" xfId="2" applyNumberFormat="1" applyFont="1" applyBorder="1" applyAlignment="1">
      <alignment horizontal="center"/>
    </xf>
    <xf numFmtId="8" fontId="0" fillId="0" borderId="6" xfId="2" applyNumberFormat="1" applyFont="1" applyBorder="1" applyAlignment="1">
      <alignment horizontal="center"/>
    </xf>
    <xf numFmtId="0" fontId="2" fillId="0" borderId="5" xfId="0" applyFont="1" applyBorder="1"/>
    <xf numFmtId="0" fontId="7" fillId="0" borderId="0" xfId="0" applyFont="1"/>
    <xf numFmtId="0" fontId="2" fillId="0" borderId="1" xfId="0" applyFont="1" applyBorder="1"/>
    <xf numFmtId="0" fontId="2" fillId="6" borderId="1" xfId="0" applyFont="1" applyFill="1" applyBorder="1"/>
    <xf numFmtId="0" fontId="2" fillId="6" borderId="1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8" xfId="0" applyFont="1" applyFill="1" applyBorder="1"/>
    <xf numFmtId="0" fontId="2" fillId="6" borderId="20" xfId="0" applyFont="1" applyFill="1" applyBorder="1" applyAlignment="1">
      <alignment horizontal="center"/>
    </xf>
    <xf numFmtId="6" fontId="2" fillId="6" borderId="20" xfId="0" applyNumberFormat="1" applyFont="1" applyFill="1" applyBorder="1" applyAlignment="1">
      <alignment horizontal="center"/>
    </xf>
    <xf numFmtId="0" fontId="2" fillId="6" borderId="9" xfId="0" applyFont="1" applyFill="1" applyBorder="1" applyAlignment="1">
      <alignment horizontal="center"/>
    </xf>
    <xf numFmtId="6" fontId="0" fillId="0" borderId="2" xfId="0" applyNumberFormat="1" applyBorder="1" applyAlignment="1">
      <alignment horizontal="center"/>
    </xf>
    <xf numFmtId="6" fontId="7" fillId="0" borderId="4" xfId="1" applyNumberFormat="1" applyFont="1" applyBorder="1"/>
    <xf numFmtId="8" fontId="7" fillId="0" borderId="4" xfId="0" applyNumberFormat="1" applyFont="1" applyBorder="1"/>
    <xf numFmtId="6" fontId="0" fillId="0" borderId="4" xfId="0" applyNumberFormat="1" applyBorder="1"/>
    <xf numFmtId="0" fontId="0" fillId="0" borderId="8" xfId="0" applyBorder="1"/>
    <xf numFmtId="10" fontId="7" fillId="0" borderId="2" xfId="3" applyNumberFormat="1" applyFont="1" applyBorder="1"/>
    <xf numFmtId="6" fontId="0" fillId="0" borderId="13" xfId="1" applyNumberFormat="1" applyFont="1" applyBorder="1"/>
    <xf numFmtId="6" fontId="0" fillId="0" borderId="14" xfId="1" applyNumberFormat="1" applyFont="1" applyBorder="1"/>
    <xf numFmtId="6" fontId="0" fillId="0" borderId="15" xfId="1" applyNumberFormat="1" applyFont="1" applyBorder="1"/>
    <xf numFmtId="6" fontId="0" fillId="0" borderId="16" xfId="1" applyNumberFormat="1" applyFont="1" applyBorder="1"/>
    <xf numFmtId="6" fontId="0" fillId="0" borderId="0" xfId="1" applyNumberFormat="1" applyFont="1" applyBorder="1"/>
    <xf numFmtId="6" fontId="0" fillId="0" borderId="17" xfId="1" applyNumberFormat="1" applyFont="1" applyBorder="1"/>
    <xf numFmtId="6" fontId="0" fillId="3" borderId="0" xfId="1" applyNumberFormat="1" applyFont="1" applyFill="1" applyBorder="1"/>
    <xf numFmtId="6" fontId="0" fillId="0" borderId="18" xfId="1" applyNumberFormat="1" applyFont="1" applyBorder="1"/>
    <xf numFmtId="6" fontId="0" fillId="0" borderId="7" xfId="1" applyNumberFormat="1" applyFont="1" applyBorder="1"/>
    <xf numFmtId="6" fontId="0" fillId="0" borderId="19" xfId="1" applyNumberFormat="1" applyFont="1" applyBorder="1"/>
    <xf numFmtId="6" fontId="0" fillId="0" borderId="0" xfId="0" applyNumberFormat="1"/>
    <xf numFmtId="0" fontId="8" fillId="0" borderId="0" xfId="0" applyFont="1"/>
    <xf numFmtId="0" fontId="4" fillId="4" borderId="1" xfId="0" applyFont="1" applyFill="1" applyBorder="1"/>
    <xf numFmtId="0" fontId="4" fillId="4" borderId="12" xfId="0" applyFont="1" applyFill="1" applyBorder="1"/>
    <xf numFmtId="0" fontId="4" fillId="4" borderId="2" xfId="0" applyFont="1" applyFill="1" applyBorder="1"/>
    <xf numFmtId="6" fontId="0" fillId="0" borderId="12" xfId="0" applyNumberFormat="1" applyBorder="1"/>
    <xf numFmtId="0" fontId="6" fillId="0" borderId="0" xfId="0" applyFont="1"/>
    <xf numFmtId="10" fontId="3" fillId="3" borderId="3" xfId="3" applyNumberFormat="1" applyFont="1" applyFill="1" applyBorder="1"/>
    <xf numFmtId="6" fontId="2" fillId="0" borderId="3" xfId="0" applyNumberFormat="1" applyFont="1" applyBorder="1" applyAlignment="1">
      <alignment horizontal="right"/>
    </xf>
    <xf numFmtId="8" fontId="9" fillId="3" borderId="2" xfId="0" applyNumberFormat="1" applyFont="1" applyFill="1" applyBorder="1"/>
    <xf numFmtId="165" fontId="9" fillId="3" borderId="6" xfId="0" applyNumberFormat="1" applyFont="1" applyFill="1" applyBorder="1"/>
    <xf numFmtId="9" fontId="9" fillId="3" borderId="2" xfId="0" applyNumberFormat="1" applyFont="1" applyFill="1" applyBorder="1"/>
    <xf numFmtId="10" fontId="0" fillId="0" borderId="21" xfId="3" applyNumberFormat="1" applyFont="1" applyBorder="1"/>
    <xf numFmtId="0" fontId="4" fillId="0" borderId="0" xfId="0" applyFont="1"/>
    <xf numFmtId="6" fontId="2" fillId="0" borderId="0" xfId="0" applyNumberFormat="1" applyFont="1" applyAlignment="1">
      <alignment horizontal="right"/>
    </xf>
    <xf numFmtId="10" fontId="0" fillId="0" borderId="0" xfId="3" applyNumberFormat="1" applyFont="1" applyFill="1" applyBorder="1"/>
    <xf numFmtId="6" fontId="0" fillId="0" borderId="0" xfId="1" applyNumberFormat="1" applyFont="1" applyFill="1" applyBorder="1"/>
    <xf numFmtId="10" fontId="3" fillId="0" borderId="0" xfId="3" applyNumberFormat="1" applyFont="1" applyFill="1" applyBorder="1"/>
    <xf numFmtId="9" fontId="9" fillId="3" borderId="6" xfId="0" applyNumberFormat="1" applyFont="1" applyFill="1" applyBorder="1"/>
    <xf numFmtId="6" fontId="0" fillId="0" borderId="21" xfId="3" applyNumberFormat="1" applyFont="1" applyBorder="1"/>
    <xf numFmtId="6" fontId="0" fillId="0" borderId="0" xfId="3" applyNumberFormat="1" applyFont="1" applyBorder="1"/>
    <xf numFmtId="6" fontId="0" fillId="0" borderId="7" xfId="3" applyNumberFormat="1" applyFont="1" applyBorder="1"/>
    <xf numFmtId="6" fontId="0" fillId="0" borderId="25" xfId="0" applyNumberFormat="1" applyBorder="1"/>
    <xf numFmtId="0" fontId="10" fillId="0" borderId="0" xfId="0" applyFont="1"/>
    <xf numFmtId="0" fontId="11" fillId="0" borderId="0" xfId="0" applyFont="1"/>
    <xf numFmtId="0" fontId="12" fillId="0" borderId="0" xfId="0" applyFont="1"/>
    <xf numFmtId="15" fontId="10" fillId="0" borderId="0" xfId="0" quotePrefix="1" applyNumberFormat="1" applyFont="1"/>
    <xf numFmtId="0" fontId="13" fillId="0" borderId="0" xfId="0" applyFont="1"/>
    <xf numFmtId="6" fontId="14" fillId="0" borderId="0" xfId="0" applyNumberFormat="1" applyFont="1"/>
    <xf numFmtId="0" fontId="0" fillId="0" borderId="21" xfId="0" applyBorder="1"/>
    <xf numFmtId="0" fontId="0" fillId="0" borderId="24" xfId="0" applyBorder="1"/>
    <xf numFmtId="6" fontId="9" fillId="0" borderId="12" xfId="2" applyNumberFormat="1" applyFont="1" applyBorder="1" applyAlignment="1">
      <alignment horizontal="center"/>
    </xf>
    <xf numFmtId="6" fontId="9" fillId="0" borderId="0" xfId="2" applyNumberFormat="1" applyFont="1" applyBorder="1" applyAlignment="1">
      <alignment horizontal="center"/>
    </xf>
    <xf numFmtId="0" fontId="2" fillId="3" borderId="24" xfId="0" applyFont="1" applyFill="1" applyBorder="1"/>
    <xf numFmtId="164" fontId="0" fillId="0" borderId="24" xfId="1" applyNumberFormat="1" applyFont="1" applyBorder="1"/>
    <xf numFmtId="44" fontId="0" fillId="0" borderId="24" xfId="2" applyFont="1" applyBorder="1"/>
    <xf numFmtId="10" fontId="0" fillId="0" borderId="24" xfId="3" applyNumberFormat="1" applyFont="1" applyBorder="1"/>
    <xf numFmtId="8" fontId="0" fillId="0" borderId="2" xfId="2" applyNumberFormat="1" applyFont="1" applyBorder="1"/>
    <xf numFmtId="8" fontId="0" fillId="3" borderId="4" xfId="1" applyNumberFormat="1" applyFont="1" applyFill="1" applyBorder="1"/>
    <xf numFmtId="8" fontId="0" fillId="0" borderId="6" xfId="1" applyNumberFormat="1" applyFont="1" applyBorder="1"/>
    <xf numFmtId="8" fontId="0" fillId="0" borderId="24" xfId="2" applyNumberFormat="1" applyFont="1" applyBorder="1"/>
    <xf numFmtId="8" fontId="0" fillId="0" borderId="24" xfId="1" applyNumberFormat="1" applyFont="1" applyBorder="1"/>
    <xf numFmtId="6" fontId="10" fillId="0" borderId="0" xfId="0" applyNumberFormat="1" applyFont="1"/>
    <xf numFmtId="0" fontId="15" fillId="0" borderId="0" xfId="0" applyFont="1"/>
    <xf numFmtId="0" fontId="16" fillId="0" borderId="0" xfId="0" applyFont="1"/>
    <xf numFmtId="6" fontId="7" fillId="0" borderId="21" xfId="0" applyNumberFormat="1" applyFont="1" applyBorder="1" applyAlignment="1">
      <alignment horizontal="center"/>
    </xf>
    <xf numFmtId="6" fontId="9" fillId="0" borderId="21" xfId="0" applyNumberFormat="1" applyFont="1" applyBorder="1" applyAlignment="1">
      <alignment horizontal="center"/>
    </xf>
    <xf numFmtId="6" fontId="0" fillId="0" borderId="24" xfId="1" applyNumberFormat="1" applyFont="1" applyBorder="1" applyAlignment="1">
      <alignment horizontal="center"/>
    </xf>
    <xf numFmtId="6" fontId="2" fillId="0" borderId="24" xfId="1" applyNumberFormat="1" applyFont="1" applyBorder="1" applyAlignment="1">
      <alignment horizontal="center"/>
    </xf>
    <xf numFmtId="6" fontId="0" fillId="0" borderId="9" xfId="1" applyNumberFormat="1" applyFont="1" applyBorder="1" applyAlignment="1">
      <alignment horizontal="center"/>
    </xf>
    <xf numFmtId="0" fontId="0" fillId="7" borderId="0" xfId="0" applyFill="1"/>
    <xf numFmtId="6" fontId="0" fillId="7" borderId="0" xfId="3" applyNumberFormat="1" applyFont="1" applyFill="1" applyBorder="1"/>
    <xf numFmtId="6" fontId="0" fillId="7" borderId="0" xfId="1" applyNumberFormat="1" applyFont="1" applyFill="1" applyBorder="1"/>
    <xf numFmtId="0" fontId="2" fillId="7" borderId="0" xfId="0" applyFont="1" applyFill="1" applyAlignment="1">
      <alignment horizontal="right"/>
    </xf>
    <xf numFmtId="6" fontId="2" fillId="7" borderId="0" xfId="3" applyNumberFormat="1" applyFont="1" applyFill="1" applyBorder="1"/>
    <xf numFmtId="6" fontId="2" fillId="7" borderId="0" xfId="1" applyNumberFormat="1" applyFont="1" applyFill="1" applyBorder="1"/>
    <xf numFmtId="0" fontId="6" fillId="7" borderId="0" xfId="0" applyFont="1" applyFill="1"/>
    <xf numFmtId="0" fontId="4" fillId="7" borderId="0" xfId="0" applyFont="1" applyFill="1"/>
    <xf numFmtId="6" fontId="0" fillId="7" borderId="0" xfId="0" applyNumberFormat="1" applyFill="1"/>
    <xf numFmtId="6" fontId="2" fillId="7" borderId="0" xfId="0" applyNumberFormat="1" applyFont="1" applyFill="1"/>
    <xf numFmtId="0" fontId="2" fillId="7" borderId="0" xfId="0" applyFont="1" applyFill="1"/>
    <xf numFmtId="10" fontId="0" fillId="7" borderId="0" xfId="0" applyNumberFormat="1" applyFill="1"/>
    <xf numFmtId="0" fontId="11" fillId="7" borderId="0" xfId="0" applyFont="1" applyFill="1"/>
    <xf numFmtId="6" fontId="11" fillId="7" borderId="0" xfId="0" applyNumberFormat="1" applyFont="1" applyFill="1"/>
    <xf numFmtId="41" fontId="0" fillId="7" borderId="0" xfId="0" applyNumberFormat="1" applyFill="1"/>
    <xf numFmtId="41" fontId="2" fillId="7" borderId="0" xfId="0" applyNumberFormat="1" applyFont="1" applyFill="1"/>
    <xf numFmtId="41" fontId="0" fillId="7" borderId="0" xfId="1" applyNumberFormat="1" applyFont="1" applyFill="1" applyBorder="1"/>
    <xf numFmtId="42" fontId="2" fillId="7" borderId="0" xfId="0" applyNumberFormat="1" applyFont="1" applyFill="1"/>
    <xf numFmtId="41" fontId="0" fillId="7" borderId="11" xfId="0" applyNumberFormat="1" applyFill="1" applyBorder="1"/>
    <xf numFmtId="41" fontId="0" fillId="7" borderId="11" xfId="1" applyNumberFormat="1" applyFont="1" applyFill="1" applyBorder="1"/>
    <xf numFmtId="0" fontId="2" fillId="7" borderId="0" xfId="0" applyFont="1" applyFill="1" applyAlignment="1">
      <alignment horizontal="left"/>
    </xf>
    <xf numFmtId="0" fontId="4" fillId="7" borderId="0" xfId="0" applyFont="1" applyFill="1" applyAlignment="1">
      <alignment horizontal="left"/>
    </xf>
    <xf numFmtId="42" fontId="2" fillId="7" borderId="0" xfId="0" applyNumberFormat="1" applyFont="1" applyFill="1" applyAlignment="1">
      <alignment horizontal="left"/>
    </xf>
    <xf numFmtId="0" fontId="0" fillId="7" borderId="0" xfId="0" applyFill="1" applyAlignment="1">
      <alignment horizontal="left"/>
    </xf>
    <xf numFmtId="42" fontId="0" fillId="7" borderId="0" xfId="0" applyNumberFormat="1" applyFill="1" applyAlignment="1">
      <alignment horizontal="left"/>
    </xf>
    <xf numFmtId="0" fontId="0" fillId="7" borderId="0" xfId="0" applyFill="1" applyAlignment="1">
      <alignment horizontal="left" indent="1"/>
    </xf>
    <xf numFmtId="10" fontId="0" fillId="7" borderId="0" xfId="0" applyNumberFormat="1" applyFill="1" applyAlignment="1">
      <alignment horizontal="left"/>
    </xf>
    <xf numFmtId="41" fontId="0" fillId="7" borderId="11" xfId="0" applyNumberFormat="1" applyFill="1" applyBorder="1" applyAlignment="1">
      <alignment horizontal="left"/>
    </xf>
    <xf numFmtId="0" fontId="8" fillId="7" borderId="0" xfId="0" applyFont="1" applyFill="1" applyAlignment="1">
      <alignment horizontal="left"/>
    </xf>
    <xf numFmtId="41" fontId="0" fillId="7" borderId="0" xfId="0" applyNumberFormat="1" applyFill="1" applyAlignment="1">
      <alignment horizontal="left"/>
    </xf>
    <xf numFmtId="6" fontId="0" fillId="7" borderId="0" xfId="0" applyNumberFormat="1" applyFill="1" applyAlignment="1">
      <alignment horizontal="left" indent="1"/>
    </xf>
    <xf numFmtId="0" fontId="2" fillId="2" borderId="0" xfId="0" applyFont="1" applyFill="1"/>
    <xf numFmtId="0" fontId="4" fillId="0" borderId="20" xfId="0" applyFont="1" applyBorder="1"/>
    <xf numFmtId="8" fontId="0" fillId="0" borderId="20" xfId="0" applyNumberFormat="1" applyBorder="1" applyAlignment="1">
      <alignment horizontal="center"/>
    </xf>
    <xf numFmtId="8" fontId="0" fillId="0" borderId="28" xfId="0" applyNumberFormat="1" applyBorder="1" applyAlignment="1">
      <alignment horizontal="center"/>
    </xf>
    <xf numFmtId="10" fontId="0" fillId="0" borderId="12" xfId="3" applyNumberFormat="1" applyFont="1" applyFill="1" applyBorder="1"/>
    <xf numFmtId="10" fontId="2" fillId="0" borderId="0" xfId="3" applyNumberFormat="1" applyFont="1" applyFill="1" applyBorder="1"/>
    <xf numFmtId="10" fontId="0" fillId="0" borderId="7" xfId="3" applyNumberFormat="1" applyFont="1" applyFill="1" applyBorder="1"/>
    <xf numFmtId="9" fontId="0" fillId="0" borderId="21" xfId="3" applyFont="1" applyFill="1" applyBorder="1"/>
    <xf numFmtId="9" fontId="0" fillId="0" borderId="22" xfId="3" applyFont="1" applyFill="1" applyBorder="1"/>
    <xf numFmtId="9" fontId="0" fillId="0" borderId="29" xfId="3" applyFont="1" applyFill="1" applyBorder="1"/>
    <xf numFmtId="9" fontId="0" fillId="0" borderId="20" xfId="0" applyNumberFormat="1" applyBorder="1" applyAlignment="1">
      <alignment horizontal="center"/>
    </xf>
    <xf numFmtId="9" fontId="0" fillId="0" borderId="28" xfId="0" applyNumberFormat="1" applyBorder="1" applyAlignment="1">
      <alignment horizontal="center"/>
    </xf>
    <xf numFmtId="10" fontId="0" fillId="0" borderId="22" xfId="3" applyNumberFormat="1" applyFont="1" applyBorder="1"/>
    <xf numFmtId="10" fontId="0" fillId="0" borderId="29" xfId="3" applyNumberFormat="1" applyFont="1" applyBorder="1"/>
    <xf numFmtId="10" fontId="0" fillId="0" borderId="0" xfId="0" applyNumberFormat="1" applyAlignment="1">
      <alignment horizontal="left"/>
    </xf>
    <xf numFmtId="10" fontId="3" fillId="0" borderId="0" xfId="0" applyNumberFormat="1" applyFont="1" applyAlignment="1">
      <alignment horizontal="left"/>
    </xf>
    <xf numFmtId="10" fontId="9" fillId="0" borderId="0" xfId="0" applyNumberFormat="1" applyFont="1" applyAlignment="1">
      <alignment horizontal="left"/>
    </xf>
    <xf numFmtId="41" fontId="17" fillId="0" borderId="11" xfId="0" applyNumberFormat="1" applyFont="1" applyBorder="1"/>
    <xf numFmtId="0" fontId="11" fillId="2" borderId="0" xfId="0" applyFont="1" applyFill="1"/>
    <xf numFmtId="6" fontId="11" fillId="2" borderId="12" xfId="0" applyNumberFormat="1" applyFont="1" applyFill="1" applyBorder="1"/>
    <xf numFmtId="42" fontId="2" fillId="7" borderId="12" xfId="0" applyNumberFormat="1" applyFont="1" applyFill="1" applyBorder="1"/>
    <xf numFmtId="166" fontId="0" fillId="0" borderId="0" xfId="0" applyNumberFormat="1" applyAlignment="1">
      <alignment horizontal="right"/>
    </xf>
    <xf numFmtId="0" fontId="8" fillId="0" borderId="0" xfId="0" applyFont="1" applyAlignment="1">
      <alignment horizontal="right"/>
    </xf>
    <xf numFmtId="10" fontId="0" fillId="0" borderId="0" xfId="0" applyNumberFormat="1" applyAlignment="1">
      <alignment horizontal="right"/>
    </xf>
    <xf numFmtId="166" fontId="0" fillId="2" borderId="8" xfId="0" applyNumberFormat="1" applyFill="1" applyBorder="1" applyAlignment="1">
      <alignment horizontal="right"/>
    </xf>
    <xf numFmtId="10" fontId="0" fillId="2" borderId="9" xfId="0" applyNumberFormat="1" applyFill="1" applyBorder="1" applyAlignment="1">
      <alignment horizontal="right"/>
    </xf>
    <xf numFmtId="6" fontId="11" fillId="7" borderId="12" xfId="0" applyNumberFormat="1" applyFont="1" applyFill="1" applyBorder="1"/>
    <xf numFmtId="3" fontId="0" fillId="0" borderId="0" xfId="0" applyNumberFormat="1"/>
    <xf numFmtId="6" fontId="2" fillId="0" borderId="12" xfId="0" applyNumberFormat="1" applyFont="1" applyBorder="1"/>
    <xf numFmtId="41" fontId="0" fillId="0" borderId="0" xfId="0" applyNumberFormat="1"/>
    <xf numFmtId="42" fontId="2" fillId="0" borderId="12" xfId="0" applyNumberFormat="1" applyFont="1" applyBorder="1"/>
    <xf numFmtId="0" fontId="2" fillId="0" borderId="13" xfId="0" applyFont="1" applyBorder="1"/>
    <xf numFmtId="0" fontId="2" fillId="0" borderId="18" xfId="0" applyFont="1" applyBorder="1"/>
    <xf numFmtId="42" fontId="2" fillId="2" borderId="0" xfId="0" applyNumberFormat="1" applyFont="1" applyFill="1"/>
    <xf numFmtId="0" fontId="2" fillId="0" borderId="14" xfId="0" applyFont="1" applyBorder="1"/>
    <xf numFmtId="6" fontId="2" fillId="0" borderId="15" xfId="0" applyNumberFormat="1" applyFont="1" applyBorder="1"/>
    <xf numFmtId="0" fontId="2" fillId="0" borderId="16" xfId="0" applyFont="1" applyBorder="1"/>
    <xf numFmtId="6" fontId="2" fillId="0" borderId="17" xfId="0" applyNumberFormat="1" applyFont="1" applyBorder="1"/>
    <xf numFmtId="0" fontId="2" fillId="0" borderId="7" xfId="0" applyFont="1" applyBorder="1"/>
    <xf numFmtId="6" fontId="2" fillId="0" borderId="19" xfId="0" applyNumberFormat="1" applyFont="1" applyBorder="1"/>
    <xf numFmtId="6" fontId="0" fillId="0" borderId="12" xfId="1" applyNumberFormat="1" applyFont="1" applyFill="1" applyBorder="1"/>
    <xf numFmtId="6" fontId="0" fillId="0" borderId="25" xfId="1" applyNumberFormat="1" applyFont="1" applyFill="1" applyBorder="1"/>
    <xf numFmtId="6" fontId="0" fillId="0" borderId="3" xfId="1" applyNumberFormat="1" applyFont="1" applyFill="1" applyBorder="1"/>
    <xf numFmtId="6" fontId="0" fillId="0" borderId="17" xfId="1" applyNumberFormat="1" applyFont="1" applyFill="1" applyBorder="1"/>
    <xf numFmtId="6" fontId="0" fillId="0" borderId="10" xfId="1" applyNumberFormat="1" applyFont="1" applyFill="1" applyBorder="1"/>
    <xf numFmtId="6" fontId="0" fillId="0" borderId="7" xfId="1" applyNumberFormat="1" applyFont="1" applyFill="1" applyBorder="1"/>
    <xf numFmtId="10" fontId="2" fillId="0" borderId="22" xfId="3" applyNumberFormat="1" applyFont="1" applyFill="1" applyBorder="1"/>
    <xf numFmtId="8" fontId="0" fillId="0" borderId="12" xfId="0" applyNumberFormat="1" applyBorder="1" applyAlignment="1">
      <alignment horizontal="center"/>
    </xf>
    <xf numFmtId="8" fontId="0" fillId="0" borderId="25" xfId="0" applyNumberFormat="1" applyBorder="1" applyAlignment="1">
      <alignment horizontal="center"/>
    </xf>
    <xf numFmtId="6" fontId="2" fillId="6" borderId="1" xfId="1" applyNumberFormat="1" applyFont="1" applyFill="1" applyBorder="1"/>
    <xf numFmtId="6" fontId="2" fillId="6" borderId="0" xfId="1" applyNumberFormat="1" applyFont="1" applyFill="1" applyBorder="1"/>
    <xf numFmtId="6" fontId="2" fillId="6" borderId="19" xfId="1" applyNumberFormat="1" applyFont="1" applyFill="1" applyBorder="1"/>
    <xf numFmtId="8" fontId="2" fillId="0" borderId="12" xfId="0" applyNumberFormat="1" applyFont="1" applyBorder="1" applyAlignment="1">
      <alignment horizontal="center"/>
    </xf>
    <xf numFmtId="6" fontId="2" fillId="0" borderId="0" xfId="3" applyNumberFormat="1" applyFont="1" applyFill="1" applyBorder="1"/>
    <xf numFmtId="9" fontId="1" fillId="0" borderId="22" xfId="3" applyFont="1" applyFill="1" applyBorder="1"/>
    <xf numFmtId="0" fontId="10" fillId="0" borderId="0" xfId="0" applyFont="1" applyAlignment="1">
      <alignment horizontal="left" indent="1"/>
    </xf>
    <xf numFmtId="0" fontId="18" fillId="8" borderId="24" xfId="0" applyFont="1" applyFill="1" applyBorder="1"/>
    <xf numFmtId="0" fontId="18" fillId="8" borderId="21" xfId="0" applyFont="1" applyFill="1" applyBorder="1" applyAlignment="1">
      <alignment horizontal="center"/>
    </xf>
    <xf numFmtId="0" fontId="18" fillId="8" borderId="2" xfId="0" applyFont="1" applyFill="1" applyBorder="1" applyAlignment="1">
      <alignment horizontal="center"/>
    </xf>
    <xf numFmtId="0" fontId="19" fillId="8" borderId="14" xfId="0" applyFont="1" applyFill="1" applyBorder="1"/>
    <xf numFmtId="0" fontId="19" fillId="8" borderId="15" xfId="0" applyFont="1" applyFill="1" applyBorder="1"/>
    <xf numFmtId="0" fontId="19" fillId="8" borderId="13" xfId="0" applyFont="1" applyFill="1" applyBorder="1"/>
    <xf numFmtId="0" fontId="19" fillId="8" borderId="27" xfId="0" applyFont="1" applyFill="1" applyBorder="1"/>
    <xf numFmtId="0" fontId="18" fillId="8" borderId="8" xfId="0" applyFont="1" applyFill="1" applyBorder="1" applyAlignment="1">
      <alignment horizontal="right"/>
    </xf>
    <xf numFmtId="0" fontId="18" fillId="8" borderId="9" xfId="0" applyFont="1" applyFill="1" applyBorder="1" applyAlignment="1">
      <alignment horizontal="right"/>
    </xf>
    <xf numFmtId="8" fontId="0" fillId="0" borderId="4" xfId="0" applyNumberFormat="1" applyBorder="1"/>
    <xf numFmtId="165" fontId="0" fillId="0" borderId="6" xfId="0" applyNumberFormat="1" applyBorder="1"/>
    <xf numFmtId="6" fontId="0" fillId="0" borderId="9" xfId="0" applyNumberFormat="1" applyBorder="1"/>
    <xf numFmtId="0" fontId="8" fillId="7" borderId="0" xfId="0" applyFont="1" applyFill="1"/>
    <xf numFmtId="0" fontId="18" fillId="8" borderId="8" xfId="0" applyFont="1" applyFill="1" applyBorder="1" applyAlignment="1">
      <alignment horizontal="left"/>
    </xf>
    <xf numFmtId="0" fontId="18" fillId="8" borderId="9" xfId="0" applyFont="1" applyFill="1" applyBorder="1" applyAlignment="1">
      <alignment horizontal="left"/>
    </xf>
    <xf numFmtId="0" fontId="18" fillId="8" borderId="8" xfId="0" applyFont="1" applyFill="1" applyBorder="1" applyAlignment="1">
      <alignment horizontal="center"/>
    </xf>
    <xf numFmtId="0" fontId="18" fillId="8" borderId="20" xfId="0" applyFont="1" applyFill="1" applyBorder="1" applyAlignment="1">
      <alignment horizontal="center"/>
    </xf>
    <xf numFmtId="0" fontId="18" fillId="8" borderId="9" xfId="0" applyFont="1" applyFill="1" applyBorder="1" applyAlignment="1">
      <alignment horizontal="center"/>
    </xf>
    <xf numFmtId="0" fontId="4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 vertical="center" textRotation="90"/>
    </xf>
    <xf numFmtId="0" fontId="4" fillId="7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18" fillId="8" borderId="27" xfId="0" applyFont="1" applyFill="1" applyBorder="1" applyAlignment="1">
      <alignment horizontal="center" vertical="center" textRotation="90"/>
    </xf>
    <xf numFmtId="0" fontId="18" fillId="8" borderId="26" xfId="0" applyFont="1" applyFill="1" applyBorder="1" applyAlignment="1">
      <alignment horizontal="center" vertical="center" textRotation="90"/>
    </xf>
    <xf numFmtId="0" fontId="2" fillId="5" borderId="24" xfId="0" applyFont="1" applyFill="1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447675</xdr:colOff>
      <xdr:row>34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38F290-505A-43D6-9431-8CC7D1067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840258" cy="6202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66675</xdr:rowOff>
    </xdr:from>
    <xdr:to>
      <xdr:col>12</xdr:col>
      <xdr:colOff>514350</xdr:colOff>
      <xdr:row>39</xdr:row>
      <xdr:rowOff>142875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F851C9-C1EB-4A4A-A318-3B49E1917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43675"/>
          <a:ext cx="782955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161926</xdr:colOff>
      <xdr:row>24</xdr:row>
      <xdr:rowOff>139064</xdr:rowOff>
    </xdr:from>
    <xdr:to>
      <xdr:col>8</xdr:col>
      <xdr:colOff>285751</xdr:colOff>
      <xdr:row>29</xdr:row>
      <xdr:rowOff>38099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21778E-D88E-4725-9849-989F55744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6" y="4787264"/>
          <a:ext cx="2838450" cy="851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180975</xdr:colOff>
      <xdr:row>35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D5D1D8-457D-41A3-9D6D-ACFA32BCF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485"/>
        <a:stretch/>
      </xdr:blipFill>
      <xdr:spPr bwMode="auto">
        <a:xfrm>
          <a:off x="0" y="0"/>
          <a:ext cx="11763375" cy="6810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11097-834B-4DE5-9D71-D331DB575DF6}">
  <dimension ref="A1:M23"/>
  <sheetViews>
    <sheetView showGridLines="0" workbookViewId="0">
      <selection activeCell="A49" sqref="A49"/>
    </sheetView>
  </sheetViews>
  <sheetFormatPr defaultRowHeight="14.4" x14ac:dyDescent="0.3"/>
  <cols>
    <col min="1" max="1" width="9.6640625" bestFit="1" customWidth="1"/>
    <col min="4" max="4" width="13.44140625" customWidth="1"/>
    <col min="5" max="5" width="14.44140625" bestFit="1" customWidth="1"/>
  </cols>
  <sheetData>
    <row r="1" spans="1:13" ht="21" x14ac:dyDescent="0.4">
      <c r="A1" s="87" t="s">
        <v>107</v>
      </c>
    </row>
    <row r="2" spans="1:13" ht="18" x14ac:dyDescent="0.35">
      <c r="A2" s="11" t="s">
        <v>100</v>
      </c>
      <c r="B2" s="5"/>
      <c r="C2" s="5"/>
      <c r="D2" s="5"/>
    </row>
    <row r="3" spans="1:13" ht="18" x14ac:dyDescent="0.35">
      <c r="A3" s="89" t="s">
        <v>108</v>
      </c>
    </row>
    <row r="4" spans="1:13" ht="15.6" x14ac:dyDescent="0.3">
      <c r="A4" s="88" t="s">
        <v>109</v>
      </c>
    </row>
    <row r="7" spans="1:13" ht="15.6" x14ac:dyDescent="0.3">
      <c r="A7" s="86" t="s">
        <v>102</v>
      </c>
      <c r="B7" s="85"/>
      <c r="C7" s="85"/>
      <c r="D7" s="85"/>
      <c r="E7" s="90">
        <f>'Supportable Mortgage'!C25</f>
        <v>92250000</v>
      </c>
      <c r="F7" s="85" t="s">
        <v>110</v>
      </c>
      <c r="G7" s="85"/>
      <c r="H7" s="85"/>
      <c r="I7" s="85"/>
      <c r="J7" s="85"/>
      <c r="K7" s="85"/>
      <c r="L7" s="85"/>
      <c r="M7" s="85"/>
    </row>
    <row r="8" spans="1:13" ht="15.6" x14ac:dyDescent="0.3">
      <c r="A8" s="198" t="s">
        <v>154</v>
      </c>
      <c r="B8" s="198"/>
      <c r="C8" s="198"/>
      <c r="D8" s="85"/>
      <c r="E8" s="85" t="str">
        <f>'Supportable Mortgage'!C26</f>
        <v>Loan to Cost</v>
      </c>
      <c r="F8" s="85"/>
      <c r="G8" s="85"/>
      <c r="H8" s="85"/>
      <c r="I8" s="85"/>
      <c r="J8" s="85"/>
      <c r="K8" s="85"/>
      <c r="L8" s="85"/>
      <c r="M8" s="85"/>
    </row>
    <row r="9" spans="1:13" ht="15.6" x14ac:dyDescent="0.3">
      <c r="A9" s="198" t="s">
        <v>155</v>
      </c>
      <c r="B9" s="198"/>
      <c r="C9" s="198"/>
      <c r="D9" s="85"/>
      <c r="E9" s="85"/>
      <c r="F9" s="85"/>
      <c r="G9" s="85"/>
      <c r="H9" s="85"/>
      <c r="I9" s="85"/>
      <c r="J9" s="85"/>
      <c r="K9" s="85"/>
      <c r="L9" s="85"/>
      <c r="M9" s="85"/>
    </row>
    <row r="10" spans="1:13" ht="10.5" customHeight="1" x14ac:dyDescent="0.3">
      <c r="A10" s="85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</row>
    <row r="11" spans="1:13" ht="15.6" x14ac:dyDescent="0.3">
      <c r="A11" s="86" t="s">
        <v>101</v>
      </c>
      <c r="B11" s="85"/>
      <c r="C11" s="85"/>
      <c r="D11" s="85"/>
      <c r="E11" s="90">
        <f>'Land Residual Value'!C33</f>
        <v>165043590.68749997</v>
      </c>
      <c r="F11" s="85" t="s">
        <v>110</v>
      </c>
      <c r="G11" s="85"/>
      <c r="H11" s="85"/>
      <c r="I11" s="85"/>
      <c r="J11" s="85"/>
      <c r="K11" s="85"/>
      <c r="L11" s="85"/>
      <c r="M11" s="85"/>
    </row>
    <row r="12" spans="1:13" ht="6" customHeight="1" x14ac:dyDescent="0.3">
      <c r="A12" s="86"/>
      <c r="B12" s="85"/>
      <c r="C12" s="85"/>
      <c r="D12" s="85"/>
      <c r="E12" s="90"/>
      <c r="F12" s="85"/>
      <c r="G12" s="85"/>
      <c r="H12" s="85"/>
      <c r="I12" s="85"/>
      <c r="J12" s="85"/>
      <c r="K12" s="85"/>
      <c r="L12" s="85"/>
      <c r="M12" s="85"/>
    </row>
    <row r="13" spans="1:13" ht="15.6" x14ac:dyDescent="0.3">
      <c r="A13" s="198" t="s">
        <v>133</v>
      </c>
      <c r="B13" s="85"/>
      <c r="C13" s="85"/>
      <c r="D13" s="85"/>
      <c r="E13" s="104">
        <f>Sensitivity!I10</f>
        <v>202797539.96875</v>
      </c>
      <c r="F13" s="105" t="s">
        <v>131</v>
      </c>
      <c r="G13" s="85"/>
      <c r="H13" s="85"/>
      <c r="I13" s="85"/>
      <c r="J13" s="85"/>
      <c r="K13" s="85"/>
      <c r="L13" s="85"/>
      <c r="M13" s="85"/>
    </row>
    <row r="14" spans="1:13" ht="15.6" x14ac:dyDescent="0.3">
      <c r="A14" s="198" t="s">
        <v>132</v>
      </c>
      <c r="B14" s="85"/>
      <c r="C14" s="85"/>
      <c r="D14" s="85"/>
      <c r="E14" s="104">
        <f>Sensitivity!E6</f>
        <v>136728128.72656247</v>
      </c>
      <c r="F14" s="105" t="s">
        <v>131</v>
      </c>
      <c r="G14" s="85"/>
      <c r="H14" s="85"/>
      <c r="I14" s="85"/>
      <c r="J14" s="85"/>
      <c r="K14" s="85"/>
      <c r="L14" s="85"/>
      <c r="M14" s="85"/>
    </row>
    <row r="15" spans="1:13" ht="7.5" customHeight="1" x14ac:dyDescent="0.3">
      <c r="A15" s="85"/>
      <c r="B15" s="85"/>
      <c r="C15" s="85"/>
      <c r="D15" s="85"/>
      <c r="E15" s="104"/>
      <c r="F15" s="85"/>
      <c r="G15" s="85"/>
      <c r="H15" s="85"/>
      <c r="I15" s="85"/>
      <c r="J15" s="85"/>
      <c r="K15" s="85"/>
      <c r="L15" s="85"/>
      <c r="M15" s="85"/>
    </row>
    <row r="16" spans="1:13" ht="15.6" x14ac:dyDescent="0.3">
      <c r="A16" s="86" t="s">
        <v>103</v>
      </c>
      <c r="B16" s="85"/>
      <c r="C16" s="85"/>
      <c r="D16" s="85"/>
      <c r="E16" s="90">
        <f>'Land Residual Value'!C38</f>
        <v>42887817.987517565</v>
      </c>
      <c r="F16" s="85" t="s">
        <v>110</v>
      </c>
      <c r="G16" s="85"/>
      <c r="H16" s="85"/>
      <c r="I16" s="85"/>
      <c r="J16" s="85"/>
      <c r="K16" s="85"/>
      <c r="L16" s="85"/>
      <c r="M16" s="85"/>
    </row>
    <row r="17" spans="1:13" ht="15.6" x14ac:dyDescent="0.3">
      <c r="A17" s="198" t="s">
        <v>160</v>
      </c>
      <c r="B17" s="85"/>
      <c r="C17" s="85"/>
      <c r="D17" s="85"/>
      <c r="E17" s="90"/>
      <c r="F17" s="85"/>
      <c r="G17" s="85"/>
      <c r="H17" s="85"/>
      <c r="I17" s="85"/>
      <c r="J17" s="85"/>
      <c r="K17" s="85"/>
      <c r="L17" s="85"/>
      <c r="M17" s="85"/>
    </row>
    <row r="18" spans="1:13" ht="15.6" x14ac:dyDescent="0.3">
      <c r="A18" s="198" t="s">
        <v>156</v>
      </c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</row>
    <row r="19" spans="1:13" ht="4.5" customHeight="1" x14ac:dyDescent="0.3">
      <c r="A19" s="198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</row>
    <row r="20" spans="1:13" ht="15.6" x14ac:dyDescent="0.3">
      <c r="A20" s="198" t="s">
        <v>133</v>
      </c>
      <c r="B20" s="85"/>
      <c r="C20" s="85"/>
      <c r="D20" s="85"/>
      <c r="E20" s="104">
        <f>Sensitivity!E22</f>
        <v>52157817.987517565</v>
      </c>
      <c r="F20" s="105" t="s">
        <v>131</v>
      </c>
      <c r="G20" s="85"/>
      <c r="H20" s="85"/>
      <c r="I20" s="85"/>
      <c r="J20" s="85"/>
      <c r="K20" s="85"/>
      <c r="L20" s="85"/>
      <c r="M20" s="85"/>
    </row>
    <row r="21" spans="1:13" ht="15.6" x14ac:dyDescent="0.3">
      <c r="A21" s="198" t="s">
        <v>132</v>
      </c>
      <c r="B21" s="85"/>
      <c r="C21" s="85"/>
      <c r="D21" s="85"/>
      <c r="E21" s="104">
        <f>Sensitivity!I26</f>
        <v>32957817.987517565</v>
      </c>
      <c r="F21" s="105" t="s">
        <v>131</v>
      </c>
      <c r="G21" s="85"/>
      <c r="H21" s="85"/>
      <c r="I21" s="85"/>
      <c r="J21" s="85"/>
      <c r="K21" s="85"/>
      <c r="L21" s="85"/>
      <c r="M21" s="85"/>
    </row>
    <row r="22" spans="1:13" ht="7.5" customHeight="1" x14ac:dyDescent="0.3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</row>
    <row r="23" spans="1:13" ht="15.6" x14ac:dyDescent="0.3">
      <c r="A23" s="106" t="s">
        <v>134</v>
      </c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76C6B-A750-4C63-B984-640F155DE27E}">
  <dimension ref="A1"/>
  <sheetViews>
    <sheetView showGridLines="0" zoomScale="90" zoomScaleNormal="90" workbookViewId="0">
      <selection activeCell="V18" sqref="V18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CA795-0CEF-4DF1-931E-E00FEE01D93D}">
  <dimension ref="A1:Y31"/>
  <sheetViews>
    <sheetView showGridLines="0" workbookViewId="0">
      <selection activeCell="B63" sqref="B63"/>
    </sheetView>
  </sheetViews>
  <sheetFormatPr defaultRowHeight="14.4" outlineLevelCol="1" x14ac:dyDescent="0.3"/>
  <cols>
    <col min="1" max="1" width="4" customWidth="1"/>
    <col min="2" max="2" width="42.5546875" bestFit="1" customWidth="1"/>
    <col min="3" max="3" width="12.5546875" bestFit="1" customWidth="1"/>
    <col min="4" max="4" width="5.6640625" customWidth="1"/>
    <col min="5" max="5" width="37" customWidth="1"/>
    <col min="6" max="6" width="20.6640625" bestFit="1" customWidth="1"/>
    <col min="7" max="7" width="16" customWidth="1"/>
    <col min="8" max="8" width="24.6640625" bestFit="1" customWidth="1"/>
    <col min="9" max="9" width="6.44140625" customWidth="1"/>
    <col min="10" max="10" width="22.109375" bestFit="1" customWidth="1"/>
    <col min="11" max="11" width="18.109375" bestFit="1" customWidth="1"/>
    <col min="12" max="12" width="11.88671875" bestFit="1" customWidth="1"/>
    <col min="13" max="13" width="13.109375" customWidth="1"/>
    <col min="14" max="14" width="11.88671875" bestFit="1" customWidth="1"/>
    <col min="15" max="15" width="15.33203125" bestFit="1" customWidth="1"/>
    <col min="18" max="18" width="9.109375" customWidth="1" outlineLevel="1"/>
    <col min="19" max="24" width="12.88671875" customWidth="1" outlineLevel="1"/>
    <col min="25" max="25" width="4" customWidth="1" outlineLevel="1"/>
  </cols>
  <sheetData>
    <row r="1" spans="1:25" ht="18" x14ac:dyDescent="0.35">
      <c r="A1" s="11"/>
      <c r="B1" s="11" t="s">
        <v>17</v>
      </c>
    </row>
    <row r="2" spans="1:25" x14ac:dyDescent="0.3">
      <c r="S2" s="64" t="s">
        <v>16</v>
      </c>
      <c r="T2" s="65"/>
      <c r="U2" s="65"/>
      <c r="V2" s="65"/>
      <c r="W2" s="65"/>
      <c r="X2" s="65"/>
      <c r="Y2" s="66"/>
    </row>
    <row r="3" spans="1:25" ht="15.75" customHeight="1" thickBot="1" x14ac:dyDescent="0.35">
      <c r="B3" s="212" t="s">
        <v>50</v>
      </c>
      <c r="C3" s="213"/>
      <c r="E3" s="214" t="s">
        <v>4</v>
      </c>
      <c r="F3" s="215"/>
      <c r="G3" s="215"/>
      <c r="H3" s="216"/>
      <c r="J3" s="199" t="s">
        <v>111</v>
      </c>
      <c r="K3" s="200" t="s">
        <v>82</v>
      </c>
      <c r="L3" s="200"/>
      <c r="M3" s="200" t="s">
        <v>80</v>
      </c>
      <c r="N3" s="200"/>
      <c r="O3" s="201" t="s">
        <v>81</v>
      </c>
      <c r="S3" s="70">
        <f>'Land Residual Value'!C33</f>
        <v>165043590.68749997</v>
      </c>
      <c r="T3" s="62">
        <f>U3-Sensitivity!$H$12</f>
        <v>36</v>
      </c>
      <c r="U3" s="62">
        <f>V3-Sensitivity!$H$12</f>
        <v>37</v>
      </c>
      <c r="V3" s="17">
        <v>38</v>
      </c>
      <c r="W3" s="62">
        <f>V3+Sensitivity!$H$12</f>
        <v>39</v>
      </c>
      <c r="X3" s="62">
        <f>W3+Sensitivity!$H$12</f>
        <v>40</v>
      </c>
      <c r="Y3" s="3"/>
    </row>
    <row r="4" spans="1:25" ht="15" customHeight="1" x14ac:dyDescent="0.3">
      <c r="B4" s="18" t="s">
        <v>49</v>
      </c>
      <c r="C4" s="20">
        <v>46</v>
      </c>
      <c r="E4" s="39" t="s">
        <v>63</v>
      </c>
      <c r="F4" s="40" t="s">
        <v>59</v>
      </c>
      <c r="G4" s="40" t="s">
        <v>57</v>
      </c>
      <c r="H4" s="41" t="s">
        <v>58</v>
      </c>
      <c r="J4" s="91" t="s">
        <v>66</v>
      </c>
      <c r="K4" s="107">
        <v>36</v>
      </c>
      <c r="L4" s="107">
        <v>37</v>
      </c>
      <c r="M4" s="108">
        <v>38</v>
      </c>
      <c r="N4" s="107">
        <v>39</v>
      </c>
      <c r="O4" s="32">
        <v>40</v>
      </c>
      <c r="S4" s="9">
        <f>S5+Sensitivity!$H$13</f>
        <v>8.0000000000000016E-2</v>
      </c>
      <c r="T4" s="52">
        <f t="dataTable" ref="T4:X8" dt2D="1" dtr="1" r1="M4" r2="C13"/>
        <v>136728128.72656247</v>
      </c>
      <c r="U4" s="53">
        <v>140570635.28906247</v>
      </c>
      <c r="V4" s="53">
        <v>144413141.85156247</v>
      </c>
      <c r="W4" s="53">
        <v>148255648.41406247</v>
      </c>
      <c r="X4" s="54">
        <v>152098154.97656247</v>
      </c>
      <c r="Y4" s="3"/>
    </row>
    <row r="5" spans="1:25" ht="15" customHeight="1" x14ac:dyDescent="0.3">
      <c r="B5" s="1" t="s">
        <v>48</v>
      </c>
      <c r="C5" s="19">
        <f>C4*43560</f>
        <v>2003760</v>
      </c>
      <c r="E5" s="29" t="s">
        <v>5</v>
      </c>
      <c r="F5" s="30">
        <f>G5*(1-5%)</f>
        <v>57000000</v>
      </c>
      <c r="G5" s="93">
        <v>60000000</v>
      </c>
      <c r="H5" s="32">
        <f>G5*(1+5%)</f>
        <v>63000000</v>
      </c>
      <c r="J5" s="92" t="s">
        <v>65</v>
      </c>
      <c r="K5" s="109">
        <f>K4*$C$7</f>
        <v>12261960</v>
      </c>
      <c r="L5" s="109">
        <f>L4*$C$7</f>
        <v>12602570</v>
      </c>
      <c r="M5" s="110">
        <f>M4*$C$7</f>
        <v>12943180</v>
      </c>
      <c r="N5" s="109">
        <f>N4*$C$7</f>
        <v>13283790</v>
      </c>
      <c r="O5" s="111">
        <f>O4*$C$7</f>
        <v>13624400</v>
      </c>
      <c r="S5" s="9">
        <f>S6+Sensitivity!$H$13</f>
        <v>7.5000000000000011E-2</v>
      </c>
      <c r="T5" s="55">
        <v>145843337.30833331</v>
      </c>
      <c r="U5" s="56">
        <v>149942010.97499996</v>
      </c>
      <c r="V5" s="56">
        <v>154040684.64166665</v>
      </c>
      <c r="W5" s="56">
        <v>158139358.30833331</v>
      </c>
      <c r="X5" s="57">
        <v>162238031.97499999</v>
      </c>
      <c r="Y5" s="3"/>
    </row>
    <row r="6" spans="1:25" ht="15" customHeight="1" x14ac:dyDescent="0.3">
      <c r="B6" s="1" t="s">
        <v>51</v>
      </c>
      <c r="C6" s="21">
        <v>350000</v>
      </c>
      <c r="E6" s="1"/>
      <c r="H6" s="3"/>
      <c r="R6" s="10" t="s">
        <v>53</v>
      </c>
      <c r="S6" s="69">
        <v>7.0000000000000007E-2</v>
      </c>
      <c r="T6" s="55">
        <v>156260718.54464284</v>
      </c>
      <c r="U6" s="56">
        <v>160652154.6160714</v>
      </c>
      <c r="V6" s="58">
        <v>165043590.68749997</v>
      </c>
      <c r="W6" s="56">
        <v>169435026.75892857</v>
      </c>
      <c r="X6" s="57">
        <v>173826462.83035713</v>
      </c>
      <c r="Y6" s="3"/>
    </row>
    <row r="7" spans="1:25" ht="15" customHeight="1" x14ac:dyDescent="0.3">
      <c r="B7" s="4" t="s">
        <v>52</v>
      </c>
      <c r="C7" s="22">
        <v>340610</v>
      </c>
      <c r="E7" s="42" t="s">
        <v>63</v>
      </c>
      <c r="F7" s="43" t="s">
        <v>60</v>
      </c>
      <c r="G7" s="44" t="s">
        <v>57</v>
      </c>
      <c r="H7" s="45" t="s">
        <v>61</v>
      </c>
      <c r="S7" s="9">
        <f>S6-Sensitivity!$H$13</f>
        <v>6.5000000000000002E-2</v>
      </c>
      <c r="T7" s="55">
        <v>168280773.81730768</v>
      </c>
      <c r="U7" s="56">
        <v>173010012.66346151</v>
      </c>
      <c r="V7" s="56">
        <v>177739251.50961536</v>
      </c>
      <c r="W7" s="56">
        <v>182468490.35576922</v>
      </c>
      <c r="X7" s="57">
        <v>187197729.20192307</v>
      </c>
      <c r="Y7" s="3"/>
    </row>
    <row r="8" spans="1:25" ht="15.75" customHeight="1" thickBot="1" x14ac:dyDescent="0.35">
      <c r="E8" s="29" t="s">
        <v>6</v>
      </c>
      <c r="F8" s="30">
        <f>G8*(1-10%)</f>
        <v>16200000</v>
      </c>
      <c r="G8" s="93">
        <v>18000000</v>
      </c>
      <c r="H8" s="32">
        <f>G8*(1+10%)</f>
        <v>19800000</v>
      </c>
      <c r="S8" s="9">
        <f>S7-Sensitivity!$H$13</f>
        <v>6.0000000000000005E-2</v>
      </c>
      <c r="T8" s="59">
        <v>182304171.63541663</v>
      </c>
      <c r="U8" s="60">
        <v>187427513.71874997</v>
      </c>
      <c r="V8" s="60">
        <v>192550855.80208331</v>
      </c>
      <c r="W8" s="60">
        <v>197674197.88541666</v>
      </c>
      <c r="X8" s="61">
        <v>202797539.96875</v>
      </c>
      <c r="Y8" s="3"/>
    </row>
    <row r="9" spans="1:25" x14ac:dyDescent="0.3">
      <c r="B9" s="50" t="s">
        <v>153</v>
      </c>
      <c r="C9" s="210">
        <v>22000000</v>
      </c>
      <c r="E9" s="1"/>
      <c r="F9" s="37"/>
      <c r="H9" s="3"/>
      <c r="S9" s="4"/>
      <c r="T9" s="6"/>
      <c r="U9" s="6"/>
      <c r="V9" s="6"/>
      <c r="W9" s="6"/>
      <c r="X9" s="6"/>
      <c r="Y9" s="7"/>
    </row>
    <row r="10" spans="1:25" x14ac:dyDescent="0.3">
      <c r="E10" s="1" t="s">
        <v>7</v>
      </c>
      <c r="F10" s="28">
        <f>G10</f>
        <v>2500000</v>
      </c>
      <c r="G10" s="94">
        <v>2500000</v>
      </c>
      <c r="H10" s="33">
        <f>G10</f>
        <v>2500000</v>
      </c>
    </row>
    <row r="11" spans="1:25" x14ac:dyDescent="0.3">
      <c r="B11" s="212" t="s">
        <v>0</v>
      </c>
      <c r="C11" s="213"/>
      <c r="E11" s="29" t="s">
        <v>64</v>
      </c>
      <c r="F11" s="31">
        <f>SUM(F10,F8,F5)</f>
        <v>75700000</v>
      </c>
      <c r="G11" s="31">
        <f t="shared" ref="G11:H11" si="0">SUM(G10,G8,G5)</f>
        <v>80500000</v>
      </c>
      <c r="H11" s="46">
        <f t="shared" si="0"/>
        <v>85300000</v>
      </c>
    </row>
    <row r="12" spans="1:25" x14ac:dyDescent="0.3">
      <c r="B12" s="1" t="s">
        <v>56</v>
      </c>
      <c r="C12" s="23">
        <v>0.65</v>
      </c>
      <c r="E12" s="4" t="s">
        <v>62</v>
      </c>
      <c r="F12" s="34">
        <f>F11/$C$6</f>
        <v>216.28571428571428</v>
      </c>
      <c r="G12" s="34">
        <f>G11/$C$6</f>
        <v>230</v>
      </c>
      <c r="H12" s="35">
        <f>H11/$C$6</f>
        <v>243.71428571428572</v>
      </c>
      <c r="S12" s="75"/>
      <c r="T12" s="75"/>
      <c r="U12" s="75"/>
      <c r="V12" s="75"/>
      <c r="W12" s="75"/>
      <c r="X12" s="75"/>
    </row>
    <row r="13" spans="1:25" x14ac:dyDescent="0.3">
      <c r="B13" s="1" t="s">
        <v>53</v>
      </c>
      <c r="C13" s="24">
        <v>7.0000000000000007E-2</v>
      </c>
      <c r="S13" s="76"/>
      <c r="T13" s="62"/>
      <c r="U13" s="62"/>
      <c r="V13" s="17"/>
      <c r="W13" s="62"/>
      <c r="X13" s="62"/>
    </row>
    <row r="14" spans="1:25" x14ac:dyDescent="0.3">
      <c r="B14" s="1" t="s">
        <v>73</v>
      </c>
      <c r="C14" s="24">
        <v>4.7500000000000001E-2</v>
      </c>
      <c r="S14" s="77"/>
      <c r="T14" s="78"/>
      <c r="U14" s="78"/>
      <c r="V14" s="78"/>
      <c r="W14" s="78"/>
      <c r="X14" s="78"/>
    </row>
    <row r="15" spans="1:25" x14ac:dyDescent="0.3">
      <c r="B15" s="1" t="s">
        <v>1</v>
      </c>
      <c r="C15" s="25">
        <f>20*12</f>
        <v>240</v>
      </c>
      <c r="S15" s="77"/>
      <c r="T15" s="78"/>
      <c r="U15" s="78"/>
      <c r="V15" s="78"/>
      <c r="W15" s="78"/>
      <c r="X15" s="78"/>
    </row>
    <row r="16" spans="1:25" x14ac:dyDescent="0.3">
      <c r="B16" s="1" t="s">
        <v>2</v>
      </c>
      <c r="C16" s="25">
        <f>10*12</f>
        <v>120</v>
      </c>
      <c r="R16" s="10"/>
      <c r="S16" s="79"/>
      <c r="T16" s="78"/>
      <c r="U16" s="78"/>
      <c r="V16" s="78"/>
      <c r="W16" s="78"/>
      <c r="X16" s="78"/>
    </row>
    <row r="17" spans="2:24" x14ac:dyDescent="0.3">
      <c r="B17" s="1" t="s">
        <v>55</v>
      </c>
      <c r="C17" s="25">
        <v>1.3</v>
      </c>
      <c r="S17" s="77"/>
      <c r="T17" s="78"/>
      <c r="U17" s="78"/>
      <c r="V17" s="78"/>
      <c r="W17" s="78"/>
      <c r="X17" s="78"/>
    </row>
    <row r="18" spans="2:24" x14ac:dyDescent="0.3">
      <c r="B18" s="4" t="s">
        <v>54</v>
      </c>
      <c r="C18" s="26">
        <v>0.9</v>
      </c>
      <c r="S18" s="77"/>
      <c r="T18" s="78"/>
      <c r="U18" s="78"/>
      <c r="V18" s="78"/>
      <c r="W18" s="78"/>
      <c r="X18" s="78"/>
    </row>
    <row r="20" spans="2:24" x14ac:dyDescent="0.3">
      <c r="B20" s="212" t="s">
        <v>8</v>
      </c>
      <c r="C20" s="213"/>
    </row>
    <row r="21" spans="2:24" x14ac:dyDescent="0.3">
      <c r="B21" s="29" t="s">
        <v>72</v>
      </c>
      <c r="C21" s="51">
        <v>0.05</v>
      </c>
    </row>
    <row r="22" spans="2:24" x14ac:dyDescent="0.3">
      <c r="B22" s="1" t="s">
        <v>71</v>
      </c>
      <c r="C22" s="47">
        <v>24000</v>
      </c>
    </row>
    <row r="23" spans="2:24" x14ac:dyDescent="0.3">
      <c r="B23" s="1" t="s">
        <v>67</v>
      </c>
      <c r="C23" s="48">
        <v>0.25</v>
      </c>
    </row>
    <row r="24" spans="2:24" x14ac:dyDescent="0.3">
      <c r="B24" s="1" t="s">
        <v>9</v>
      </c>
      <c r="C24" s="49">
        <f>C23*C6</f>
        <v>87500</v>
      </c>
    </row>
    <row r="25" spans="2:24" x14ac:dyDescent="0.3">
      <c r="B25" s="1"/>
      <c r="C25" s="3"/>
    </row>
    <row r="26" spans="2:24" x14ac:dyDescent="0.3">
      <c r="B26" s="1" t="s">
        <v>112</v>
      </c>
      <c r="C26" s="208">
        <v>3.01</v>
      </c>
      <c r="D26" s="63" t="s">
        <v>113</v>
      </c>
      <c r="E26" s="63"/>
      <c r="F26" s="63"/>
    </row>
    <row r="27" spans="2:24" x14ac:dyDescent="0.3">
      <c r="B27" s="1" t="s">
        <v>70</v>
      </c>
      <c r="C27" s="208">
        <v>3.74</v>
      </c>
      <c r="D27" s="63" t="s">
        <v>113</v>
      </c>
      <c r="E27" s="63"/>
      <c r="F27" s="63"/>
    </row>
    <row r="28" spans="2:24" x14ac:dyDescent="0.3">
      <c r="B28" s="1" t="s">
        <v>75</v>
      </c>
      <c r="C28" s="208">
        <f>SUM(C26:C27)</f>
        <v>6.75</v>
      </c>
    </row>
    <row r="29" spans="2:24" x14ac:dyDescent="0.3">
      <c r="B29" s="1"/>
      <c r="C29" s="3"/>
    </row>
    <row r="30" spans="2:24" x14ac:dyDescent="0.3">
      <c r="B30" s="1" t="s">
        <v>161</v>
      </c>
      <c r="C30" s="2">
        <v>0.1</v>
      </c>
      <c r="D30" s="63" t="s">
        <v>77</v>
      </c>
    </row>
    <row r="31" spans="2:24" x14ac:dyDescent="0.3">
      <c r="B31" s="4" t="s">
        <v>76</v>
      </c>
      <c r="C31" s="209">
        <v>0.05</v>
      </c>
      <c r="D31" s="63"/>
    </row>
  </sheetData>
  <mergeCells count="4">
    <mergeCell ref="B3:C3"/>
    <mergeCell ref="B11:C11"/>
    <mergeCell ref="E3:H3"/>
    <mergeCell ref="B20:C20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D6286-1DD6-477E-91C4-59A6F97BFF59}">
  <dimension ref="B1:U41"/>
  <sheetViews>
    <sheetView showGridLines="0" zoomScale="80" zoomScaleNormal="80" workbookViewId="0">
      <selection activeCell="A66" sqref="A66"/>
    </sheetView>
  </sheetViews>
  <sheetFormatPr defaultColWidth="9" defaultRowHeight="14.4" outlineLevelCol="1" x14ac:dyDescent="0.3"/>
  <cols>
    <col min="1" max="1" width="4.44140625" style="112" customWidth="1"/>
    <col min="2" max="2" width="50.33203125" style="112" bestFit="1" customWidth="1"/>
    <col min="3" max="3" width="16.109375" style="112" bestFit="1" customWidth="1"/>
    <col min="4" max="4" width="9.109375" style="112" customWidth="1"/>
    <col min="5" max="5" width="15.6640625" style="112" bestFit="1" customWidth="1"/>
    <col min="6" max="6" width="3.44140625" style="112" customWidth="1"/>
    <col min="7" max="7" width="26.44140625" style="112" bestFit="1" customWidth="1"/>
    <col min="8" max="8" width="19" style="112" customWidth="1"/>
    <col min="9" max="9" width="15.33203125" style="112" bestFit="1" customWidth="1"/>
    <col min="10" max="10" width="19" style="112" customWidth="1"/>
    <col min="11" max="11" width="14.44140625" style="112" bestFit="1" customWidth="1"/>
    <col min="12" max="12" width="14.5546875" style="112" customWidth="1"/>
    <col min="13" max="13" width="12.88671875" style="112" hidden="1" customWidth="1" outlineLevel="1"/>
    <col min="14" max="14" width="15.33203125" style="112" hidden="1" customWidth="1" outlineLevel="1"/>
    <col min="15" max="15" width="13.44140625" style="112" hidden="1" customWidth="1" outlineLevel="1"/>
    <col min="16" max="16" width="12.5546875" style="112" hidden="1" customWidth="1" outlineLevel="1"/>
    <col min="17" max="18" width="15.33203125" style="112" hidden="1" customWidth="1" outlineLevel="1"/>
    <col min="19" max="20" width="12.5546875" style="112" hidden="1" customWidth="1" outlineLevel="1"/>
    <col min="21" max="21" width="9" style="112" collapsed="1"/>
    <col min="22" max="16384" width="9" style="112"/>
  </cols>
  <sheetData>
    <row r="1" spans="2:20" ht="18" x14ac:dyDescent="0.35">
      <c r="B1" s="118" t="s">
        <v>18</v>
      </c>
      <c r="C1" s="118"/>
      <c r="D1" s="118"/>
      <c r="E1" s="118"/>
      <c r="F1" s="118"/>
      <c r="G1" s="119"/>
      <c r="H1" s="119"/>
      <c r="I1" s="119"/>
      <c r="J1" s="119"/>
    </row>
    <row r="3" spans="2:20" x14ac:dyDescent="0.3">
      <c r="B3" s="217" t="s">
        <v>14</v>
      </c>
      <c r="C3" s="217"/>
    </row>
    <row r="4" spans="2:20" x14ac:dyDescent="0.3">
      <c r="B4" s="119" t="s">
        <v>3</v>
      </c>
      <c r="G4" s="219" t="s">
        <v>139</v>
      </c>
      <c r="H4" s="219"/>
      <c r="I4" s="219"/>
      <c r="J4" s="133"/>
    </row>
    <row r="5" spans="2:20" x14ac:dyDescent="0.3">
      <c r="B5" s="112" t="s">
        <v>10</v>
      </c>
      <c r="C5" s="126">
        <f>Assumptions!M5</f>
        <v>12943180</v>
      </c>
      <c r="G5" s="133"/>
      <c r="H5" s="140" t="s">
        <v>142</v>
      </c>
      <c r="I5" s="133"/>
      <c r="J5" s="133"/>
      <c r="M5" s="119"/>
      <c r="N5" s="119"/>
      <c r="O5" s="119"/>
      <c r="P5" s="119" t="s">
        <v>106</v>
      </c>
      <c r="Q5" s="119"/>
      <c r="R5" s="119"/>
      <c r="S5" s="119"/>
      <c r="T5" s="119"/>
    </row>
    <row r="6" spans="2:20" x14ac:dyDescent="0.3">
      <c r="B6" s="112" t="s">
        <v>114</v>
      </c>
      <c r="C6" s="126">
        <f>Assumptions!C26*Assumptions!$C$7</f>
        <v>1025236.1</v>
      </c>
      <c r="G6" s="142" t="s">
        <v>143</v>
      </c>
      <c r="H6" s="138">
        <v>0.1</v>
      </c>
      <c r="I6" s="141">
        <f>(I9-I8)*H6</f>
        <v>4318573.6295631146</v>
      </c>
      <c r="J6" s="141"/>
      <c r="M6" s="218" t="s">
        <v>6</v>
      </c>
      <c r="N6" s="115">
        <f>C38</f>
        <v>42887817.987517565</v>
      </c>
      <c r="O6" s="120">
        <f>P6*(1-Sensitivity!$H$28)</f>
        <v>-54150000</v>
      </c>
      <c r="P6" s="120">
        <f>Q6*(1-Sensitivity!$H$28)</f>
        <v>-57000000</v>
      </c>
      <c r="Q6" s="121">
        <v>-60000000</v>
      </c>
      <c r="R6" s="120">
        <f>Q6*(1+Sensitivity!$H$28)</f>
        <v>-63000000</v>
      </c>
      <c r="S6" s="120">
        <f>R6*(1+Sensitivity!$H$28)</f>
        <v>-66150000</v>
      </c>
      <c r="T6" s="120"/>
    </row>
    <row r="7" spans="2:20" x14ac:dyDescent="0.3">
      <c r="B7" s="112" t="s">
        <v>68</v>
      </c>
      <c r="C7" s="126">
        <f>Assumptions!C27*Assumptions!$C$7</f>
        <v>1273881.4000000001</v>
      </c>
      <c r="G7" s="137" t="s">
        <v>144</v>
      </c>
      <c r="H7" s="138">
        <f>1-H6</f>
        <v>0.9</v>
      </c>
      <c r="I7" s="141">
        <f>I9-I8-I6</f>
        <v>38867162.666068025</v>
      </c>
      <c r="J7" s="141"/>
      <c r="M7" s="218"/>
      <c r="N7" s="113">
        <f>N8*(1-Sensitivity!$H$29)</f>
        <v>-14580000</v>
      </c>
      <c r="O7" s="117">
        <f t="dataTable" ref="O7:S11" dt2D="1" dtr="1" r1="C24" r2="C25"/>
        <v>52157817.987517565</v>
      </c>
      <c r="P7" s="114">
        <v>49307817.987517565</v>
      </c>
      <c r="Q7" s="114">
        <v>46307817.987517565</v>
      </c>
      <c r="R7" s="114">
        <v>43307817.987517565</v>
      </c>
      <c r="S7" s="114">
        <v>40157817.987517565</v>
      </c>
      <c r="T7" s="114"/>
    </row>
    <row r="8" spans="2:20" x14ac:dyDescent="0.3">
      <c r="B8" s="112" t="str">
        <f>"Common Area Administration Fee ("&amp;TEXT(Assumptions!C30,"#%"&amp;")")</f>
        <v>Common Area Administration Fee (10%)</v>
      </c>
      <c r="C8" s="126">
        <f>Assumptions!C30*SUM('Land Residual Value'!C6:C7)</f>
        <v>229911.75</v>
      </c>
      <c r="G8" s="137" t="s">
        <v>141</v>
      </c>
      <c r="H8" s="138">
        <v>0.65</v>
      </c>
      <c r="I8" s="139">
        <f>H8*I9</f>
        <v>80202081.691886425</v>
      </c>
      <c r="J8" s="141"/>
      <c r="M8" s="218"/>
      <c r="N8" s="113">
        <f>N9*(1-Sensitivity!$H$29)</f>
        <v>-16200000</v>
      </c>
      <c r="O8" s="114">
        <v>50537817.987517565</v>
      </c>
      <c r="P8" s="114">
        <v>47687817.987517565</v>
      </c>
      <c r="Q8" s="114">
        <v>44687817.987517565</v>
      </c>
      <c r="R8" s="114">
        <v>41687817.987517565</v>
      </c>
      <c r="S8" s="114">
        <v>38537817.987517565</v>
      </c>
      <c r="T8" s="114"/>
    </row>
    <row r="9" spans="2:20" x14ac:dyDescent="0.3">
      <c r="B9" s="122" t="s">
        <v>69</v>
      </c>
      <c r="C9" s="163">
        <f>SUM(C5:C8)</f>
        <v>15472209.25</v>
      </c>
      <c r="G9" s="132" t="s">
        <v>140</v>
      </c>
      <c r="H9" s="135"/>
      <c r="I9" s="134">
        <f>I16</f>
        <v>123387817.98751757</v>
      </c>
      <c r="J9" s="134"/>
      <c r="K9" s="115"/>
      <c r="L9" s="115"/>
      <c r="M9" s="218"/>
      <c r="N9" s="116">
        <v>-18000000</v>
      </c>
      <c r="O9" s="114">
        <v>48737817.987517565</v>
      </c>
      <c r="P9" s="114">
        <v>45887817.987517565</v>
      </c>
      <c r="Q9" s="117">
        <v>42887817.987517565</v>
      </c>
      <c r="R9" s="114">
        <v>39887817.987517565</v>
      </c>
      <c r="S9" s="114">
        <v>36737817.987517565</v>
      </c>
      <c r="T9" s="114"/>
    </row>
    <row r="10" spans="2:20" x14ac:dyDescent="0.3">
      <c r="B10" s="112" t="str">
        <f>"Vacancy Rate ("&amp;TEXT(Assumptions!C21,"#%"&amp;")")</f>
        <v>Vacancy Rate (5%)</v>
      </c>
      <c r="C10" s="131">
        <f>-Assumptions!C21*'Land Residual Value'!C9</f>
        <v>-773610.46250000002</v>
      </c>
      <c r="G10" s="132"/>
      <c r="H10" s="135"/>
      <c r="I10" s="136"/>
      <c r="J10" s="136"/>
      <c r="M10" s="218"/>
      <c r="N10" s="113">
        <f>N9*(1+Sensitivity!$H$29)</f>
        <v>-19800000</v>
      </c>
      <c r="O10" s="114">
        <v>46937817.987517565</v>
      </c>
      <c r="P10" s="114">
        <v>44087817.987517565</v>
      </c>
      <c r="Q10" s="114">
        <v>41087817.987517565</v>
      </c>
      <c r="R10" s="114">
        <v>38087817.987517565</v>
      </c>
      <c r="S10" s="114">
        <v>34937817.987517565</v>
      </c>
      <c r="T10" s="114"/>
    </row>
    <row r="11" spans="2:20" x14ac:dyDescent="0.3">
      <c r="B11" s="122" t="s">
        <v>11</v>
      </c>
      <c r="C11" s="129">
        <f>C9+C10</f>
        <v>14698598.7875</v>
      </c>
      <c r="G11" s="219" t="s">
        <v>138</v>
      </c>
      <c r="H11" s="219"/>
      <c r="I11" s="219"/>
      <c r="J11" s="133"/>
      <c r="M11" s="218"/>
      <c r="N11" s="113">
        <f>N10*(1+Sensitivity!$H$29)</f>
        <v>-21780000</v>
      </c>
      <c r="O11" s="114">
        <v>44957817.987517565</v>
      </c>
      <c r="P11" s="114">
        <v>42107817.987517565</v>
      </c>
      <c r="Q11" s="114">
        <v>39107817.987517565</v>
      </c>
      <c r="R11" s="114">
        <v>36107817.987517565</v>
      </c>
      <c r="S11" s="117">
        <v>32957817.987517565</v>
      </c>
      <c r="T11" s="117"/>
    </row>
    <row r="12" spans="2:20" x14ac:dyDescent="0.3">
      <c r="C12" s="126"/>
      <c r="G12" s="137" t="str">
        <f>Assumptions!$E$5</f>
        <v>Hard Costs</v>
      </c>
      <c r="I12" s="126">
        <f>-Assumptions!$G$5*-1</f>
        <v>60000000</v>
      </c>
      <c r="J12" s="126"/>
    </row>
    <row r="13" spans="2:20" x14ac:dyDescent="0.3">
      <c r="B13" s="119" t="s">
        <v>8</v>
      </c>
      <c r="C13" s="126"/>
      <c r="G13" s="137" t="str">
        <f>Assumptions!$E$8</f>
        <v>Soft Costs</v>
      </c>
      <c r="I13" s="126">
        <f>-Assumptions!$G$8*-1</f>
        <v>18000000</v>
      </c>
      <c r="J13" s="126"/>
    </row>
    <row r="14" spans="2:20" x14ac:dyDescent="0.3">
      <c r="B14" s="112" t="s">
        <v>135</v>
      </c>
      <c r="C14" s="126">
        <f>-Assumptions!C26*Assumptions!$C$7</f>
        <v>-1025236.1</v>
      </c>
      <c r="G14" s="137" t="str">
        <f>Assumptions!$E$10</f>
        <v>Developer Fee</v>
      </c>
      <c r="I14" s="126">
        <f>-Assumptions!$G$10*-1</f>
        <v>2500000</v>
      </c>
      <c r="J14" s="126"/>
    </row>
    <row r="15" spans="2:20" x14ac:dyDescent="0.3">
      <c r="B15" s="112" t="s">
        <v>74</v>
      </c>
      <c r="C15" s="126">
        <f>-Assumptions!C27*Assumptions!$C$7</f>
        <v>-1273881.4000000001</v>
      </c>
      <c r="G15" s="137" t="s">
        <v>87</v>
      </c>
      <c r="I15" s="126">
        <f>C38</f>
        <v>42887817.987517565</v>
      </c>
      <c r="J15" s="120"/>
    </row>
    <row r="16" spans="2:20" ht="15" customHeight="1" x14ac:dyDescent="0.3">
      <c r="B16" s="112" t="str">
        <f>Assumptions!B22</f>
        <v>Non-Reimbursed Accounting Expense ($/Yr)</v>
      </c>
      <c r="C16" s="128">
        <f>-Assumptions!C22</f>
        <v>-24000</v>
      </c>
      <c r="G16" s="122" t="s">
        <v>88</v>
      </c>
      <c r="H16" s="122"/>
      <c r="I16" s="163">
        <f>SUM(I12:I15)</f>
        <v>123387817.98751757</v>
      </c>
      <c r="J16" s="129"/>
    </row>
    <row r="17" spans="2:12" x14ac:dyDescent="0.3">
      <c r="B17" s="112" t="str">
        <f>Assumptions!B24</f>
        <v>Reserves for Replacement ($/Yr)</v>
      </c>
      <c r="C17" s="128">
        <f>-Assumptions!C24</f>
        <v>-87500</v>
      </c>
    </row>
    <row r="18" spans="2:12" x14ac:dyDescent="0.3">
      <c r="B18" s="112" t="str">
        <f>"Management Fee ("&amp;TEXT(Assumptions!C31,"#%")&amp;") of EGI"</f>
        <v>Management Fee (5%) of EGI</v>
      </c>
      <c r="C18" s="130">
        <f>-Assumptions!$C$31*'Land Residual Value'!C11</f>
        <v>-734929.93937500007</v>
      </c>
      <c r="G18" s="112" t="s">
        <v>13</v>
      </c>
      <c r="I18" s="126">
        <f>C33</f>
        <v>165043590.68749997</v>
      </c>
    </row>
    <row r="19" spans="2:12" x14ac:dyDescent="0.3">
      <c r="B19" s="122" t="s">
        <v>79</v>
      </c>
      <c r="C19" s="129">
        <f>SUM(C14:C18)</f>
        <v>-3145547.4393750001</v>
      </c>
      <c r="G19" s="112" t="s">
        <v>146</v>
      </c>
      <c r="I19" s="130">
        <f>SUM(C24:C26)-C38</f>
        <v>-123387817.98751757</v>
      </c>
    </row>
    <row r="20" spans="2:12" x14ac:dyDescent="0.3">
      <c r="C20" s="126"/>
      <c r="G20" s="122" t="s">
        <v>147</v>
      </c>
      <c r="H20" s="122"/>
      <c r="I20" s="129">
        <f>SUM(I18:I19)</f>
        <v>41655772.699982405</v>
      </c>
    </row>
    <row r="21" spans="2:12" x14ac:dyDescent="0.3">
      <c r="B21" s="122" t="s">
        <v>12</v>
      </c>
      <c r="C21" s="163">
        <f>C11+C19</f>
        <v>11553051.348125</v>
      </c>
    </row>
    <row r="23" spans="2:12" x14ac:dyDescent="0.3">
      <c r="B23" s="217" t="s">
        <v>83</v>
      </c>
      <c r="C23" s="217"/>
      <c r="G23" s="219" t="s">
        <v>137</v>
      </c>
      <c r="H23" s="219"/>
    </row>
    <row r="24" spans="2:12" x14ac:dyDescent="0.3">
      <c r="B24" s="112" t="str">
        <f>Assumptions!$E$5</f>
        <v>Hard Costs</v>
      </c>
      <c r="C24" s="126">
        <f>-Assumptions!$G$5</f>
        <v>-60000000</v>
      </c>
      <c r="D24" s="123">
        <f>C24/(SUM($C$24:$C$26)+$C$38*-1)</f>
        <v>0.4862716674839801</v>
      </c>
      <c r="E24" s="112" t="s">
        <v>152</v>
      </c>
      <c r="H24" s="140" t="s">
        <v>142</v>
      </c>
    </row>
    <row r="25" spans="2:12" x14ac:dyDescent="0.3">
      <c r="B25" s="112" t="str">
        <f>Assumptions!$E$8</f>
        <v>Soft Costs</v>
      </c>
      <c r="C25" s="126">
        <f>-Assumptions!$G$8</f>
        <v>-18000000</v>
      </c>
      <c r="D25" s="123">
        <f t="shared" ref="D25:D26" si="0">C25/(SUM($C$24:$C$26)+$C$38*-1)</f>
        <v>0.14588150024519403</v>
      </c>
      <c r="E25" s="112" t="s">
        <v>152</v>
      </c>
      <c r="G25" s="120" t="str">
        <f>G6</f>
        <v>Developer</v>
      </c>
      <c r="H25" s="159">
        <f>H6</f>
        <v>0.1</v>
      </c>
      <c r="I25" s="126">
        <f>I6</f>
        <v>4318573.6295631146</v>
      </c>
      <c r="J25" s="126"/>
    </row>
    <row r="26" spans="2:12" x14ac:dyDescent="0.3">
      <c r="B26" s="112" t="str">
        <f>Assumptions!$E$10</f>
        <v>Developer Fee</v>
      </c>
      <c r="C26" s="126">
        <f>-Assumptions!$G$10</f>
        <v>-2500000</v>
      </c>
      <c r="D26" s="123">
        <f t="shared" si="0"/>
        <v>2.0261319478499171E-2</v>
      </c>
      <c r="E26" s="112" t="s">
        <v>152</v>
      </c>
      <c r="G26" s="120" t="str">
        <f>G7</f>
        <v xml:space="preserve">Investors </v>
      </c>
      <c r="H26" s="157">
        <f>1-H25</f>
        <v>0.9</v>
      </c>
      <c r="I26" s="130">
        <f>I7</f>
        <v>38867162.666068025</v>
      </c>
      <c r="J26" s="126"/>
    </row>
    <row r="27" spans="2:12" x14ac:dyDescent="0.3">
      <c r="B27" s="112" t="s">
        <v>159</v>
      </c>
      <c r="C27" s="160">
        <v>-41655772.699982412</v>
      </c>
      <c r="D27" s="123">
        <f>C27/(C28+(C38*-1))</f>
        <v>0.25239254991037546</v>
      </c>
      <c r="E27" s="112" t="s">
        <v>151</v>
      </c>
      <c r="G27" s="122" t="s">
        <v>145</v>
      </c>
      <c r="I27" s="129">
        <f>SUM(I25:I26)</f>
        <v>43185736.29563114</v>
      </c>
      <c r="J27" s="127"/>
    </row>
    <row r="28" spans="2:12" x14ac:dyDescent="0.3">
      <c r="B28" s="122" t="s">
        <v>84</v>
      </c>
      <c r="C28" s="129">
        <f>SUM(C24:C27)</f>
        <v>-122155772.6999824</v>
      </c>
      <c r="E28" s="126"/>
      <c r="F28" s="120"/>
      <c r="K28" s="126"/>
      <c r="L28" s="126"/>
    </row>
    <row r="29" spans="2:12" x14ac:dyDescent="0.3">
      <c r="J29"/>
    </row>
    <row r="30" spans="2:12" x14ac:dyDescent="0.3">
      <c r="B30" s="217" t="s">
        <v>13</v>
      </c>
      <c r="C30" s="217"/>
      <c r="H30" s="140" t="s">
        <v>150</v>
      </c>
      <c r="J30" s="165" t="s">
        <v>148</v>
      </c>
      <c r="K30" s="165" t="s">
        <v>149</v>
      </c>
    </row>
    <row r="31" spans="2:12" x14ac:dyDescent="0.3">
      <c r="B31" s="112" t="s">
        <v>12</v>
      </c>
      <c r="C31" s="126">
        <f>C21</f>
        <v>11553051.348125</v>
      </c>
      <c r="G31" s="120" t="s">
        <v>143</v>
      </c>
      <c r="H31" s="158">
        <v>0.3</v>
      </c>
      <c r="I31" s="126">
        <f>I20*H31</f>
        <v>12496731.809994722</v>
      </c>
      <c r="J31" s="164">
        <f>(I25+I31)/I25</f>
        <v>3.8937174358791573</v>
      </c>
      <c r="K31" s="166">
        <f>I31/I25</f>
        <v>2.8937174358791573</v>
      </c>
    </row>
    <row r="32" spans="2:12" x14ac:dyDescent="0.3">
      <c r="B32" s="112" t="s">
        <v>53</v>
      </c>
      <c r="C32" s="123">
        <f>Assumptions!C13</f>
        <v>7.0000000000000007E-2</v>
      </c>
      <c r="G32" s="120" t="s">
        <v>144</v>
      </c>
      <c r="H32" s="158">
        <f>1-H31</f>
        <v>0.7</v>
      </c>
      <c r="I32" s="130">
        <f>I20-I31</f>
        <v>29159040.889987685</v>
      </c>
      <c r="J32" s="167">
        <f>(I26+I32)/I26</f>
        <v>1.7502230389316336</v>
      </c>
      <c r="K32" s="168">
        <f>I32/I26</f>
        <v>0.75022303893163356</v>
      </c>
    </row>
    <row r="33" spans="2:10" ht="15.6" x14ac:dyDescent="0.3">
      <c r="B33" s="124" t="s">
        <v>13</v>
      </c>
      <c r="C33" s="169">
        <f>C31/C32</f>
        <v>165043590.68749997</v>
      </c>
      <c r="D33" s="122"/>
      <c r="G33" s="122" t="s">
        <v>147</v>
      </c>
      <c r="I33" s="129">
        <f>I31+I32</f>
        <v>41655772.699982405</v>
      </c>
      <c r="J33"/>
    </row>
    <row r="34" spans="2:10" x14ac:dyDescent="0.3">
      <c r="D34" s="122"/>
    </row>
    <row r="35" spans="2:10" x14ac:dyDescent="0.3">
      <c r="B35" s="217" t="s">
        <v>85</v>
      </c>
      <c r="C35" s="217"/>
      <c r="D35" s="122"/>
    </row>
    <row r="36" spans="2:10" x14ac:dyDescent="0.3">
      <c r="B36" s="112" t="str">
        <f>B33</f>
        <v>Stabilized Valuation</v>
      </c>
      <c r="C36" s="126">
        <f>C33</f>
        <v>165043590.68749997</v>
      </c>
    </row>
    <row r="37" spans="2:10" x14ac:dyDescent="0.3">
      <c r="B37" s="112" t="str">
        <f>B28</f>
        <v>Total Project Costs Excluding Land</v>
      </c>
      <c r="C37" s="126">
        <f>C28</f>
        <v>-122155772.6999824</v>
      </c>
    </row>
    <row r="38" spans="2:10" ht="15.6" x14ac:dyDescent="0.3">
      <c r="B38" s="161" t="s">
        <v>86</v>
      </c>
      <c r="C38" s="162">
        <f>SUM(C36:C37)</f>
        <v>42887817.987517565</v>
      </c>
      <c r="D38" s="123">
        <f>C38/(SUM($C$24:$C$26)-$C$38)*-1</f>
        <v>0.34758551279232669</v>
      </c>
      <c r="E38" s="112" t="s">
        <v>152</v>
      </c>
      <c r="G38" s="211" t="s">
        <v>162</v>
      </c>
    </row>
    <row r="39" spans="2:10" ht="15.6" x14ac:dyDescent="0.3">
      <c r="C39" s="125"/>
    </row>
    <row r="40" spans="2:10" ht="15.6" x14ac:dyDescent="0.3">
      <c r="B40" s="122" t="s">
        <v>136</v>
      </c>
      <c r="C40" s="125">
        <f>Assumptions!C9</f>
        <v>22000000</v>
      </c>
    </row>
    <row r="41" spans="2:10" ht="15.6" x14ac:dyDescent="0.3">
      <c r="B41" s="122" t="s">
        <v>163</v>
      </c>
      <c r="C41" s="125">
        <v>20000000</v>
      </c>
      <c r="D41" s="211" t="s">
        <v>164</v>
      </c>
    </row>
  </sheetData>
  <mergeCells count="8">
    <mergeCell ref="B3:C3"/>
    <mergeCell ref="M6:M11"/>
    <mergeCell ref="B23:C23"/>
    <mergeCell ref="B30:C30"/>
    <mergeCell ref="B35:C35"/>
    <mergeCell ref="G23:H23"/>
    <mergeCell ref="G4:I4"/>
    <mergeCell ref="G11:I1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B076C-27EF-4B3A-A4B3-2BDA50B65E96}">
  <dimension ref="B1:D26"/>
  <sheetViews>
    <sheetView showGridLines="0" workbookViewId="0">
      <selection activeCell="B61" sqref="B61"/>
    </sheetView>
  </sheetViews>
  <sheetFormatPr defaultRowHeight="14.4" x14ac:dyDescent="0.3"/>
  <cols>
    <col min="1" max="1" width="4.88671875" customWidth="1"/>
    <col min="2" max="2" width="34.44140625" customWidth="1"/>
    <col min="3" max="3" width="16.33203125" bestFit="1" customWidth="1"/>
  </cols>
  <sheetData>
    <row r="1" spans="2:3" ht="18" x14ac:dyDescent="0.35">
      <c r="B1" s="68" t="s">
        <v>157</v>
      </c>
    </row>
    <row r="3" spans="2:3" x14ac:dyDescent="0.3">
      <c r="B3" s="220" t="s">
        <v>93</v>
      </c>
      <c r="C3" s="220"/>
    </row>
    <row r="4" spans="2:3" x14ac:dyDescent="0.3">
      <c r="B4" s="62" t="str">
        <f>'Land Residual Value'!B33</f>
        <v>Stabilized Valuation</v>
      </c>
      <c r="C4" s="172">
        <f>'Land Residual Value'!C33</f>
        <v>165043590.68749997</v>
      </c>
    </row>
    <row r="5" spans="2:3" x14ac:dyDescent="0.3">
      <c r="B5" t="str">
        <f>Assumptions!B12</f>
        <v>Maximum LTV (Stabilized Value)</v>
      </c>
      <c r="C5" s="27">
        <f>Assumptions!C12</f>
        <v>0.65</v>
      </c>
    </row>
    <row r="6" spans="2:3" x14ac:dyDescent="0.3">
      <c r="B6" s="5" t="s">
        <v>89</v>
      </c>
      <c r="C6" s="173">
        <f>C4*C5</f>
        <v>107278333.94687499</v>
      </c>
    </row>
    <row r="8" spans="2:3" x14ac:dyDescent="0.3">
      <c r="B8" s="220" t="s">
        <v>94</v>
      </c>
      <c r="C8" s="220"/>
    </row>
    <row r="9" spans="2:3" x14ac:dyDescent="0.3">
      <c r="B9" s="62" t="str">
        <f>'Land Residual Value'!B21</f>
        <v>Net Operating Income</v>
      </c>
      <c r="C9" s="172">
        <f>'Land Residual Value'!C21</f>
        <v>11553051.348125</v>
      </c>
    </row>
    <row r="10" spans="2:3" x14ac:dyDescent="0.3">
      <c r="B10" t="str">
        <f>Assumptions!B17</f>
        <v xml:space="preserve">Minimum Debt Coverage Ratio </v>
      </c>
      <c r="C10">
        <f>Assumptions!C17</f>
        <v>1.3</v>
      </c>
    </row>
    <row r="11" spans="2:3" x14ac:dyDescent="0.3">
      <c r="B11" t="s">
        <v>90</v>
      </c>
      <c r="C11" s="172">
        <f>C9/C10</f>
        <v>8886962.5754807685</v>
      </c>
    </row>
    <row r="12" spans="2:3" x14ac:dyDescent="0.3">
      <c r="B12" t="str">
        <f>Assumptions!B14</f>
        <v>Interest Rate (/Yr)</v>
      </c>
      <c r="C12" s="27">
        <f>Assumptions!C14</f>
        <v>4.7500000000000001E-2</v>
      </c>
    </row>
    <row r="13" spans="2:3" x14ac:dyDescent="0.3">
      <c r="B13" t="str">
        <f>Assumptions!B15</f>
        <v>Amortization Period (Months)</v>
      </c>
      <c r="C13" s="170">
        <f>Assumptions!C15</f>
        <v>240</v>
      </c>
    </row>
    <row r="14" spans="2:3" x14ac:dyDescent="0.3">
      <c r="B14" s="5" t="s">
        <v>89</v>
      </c>
      <c r="C14" s="173">
        <f>PV(C12/12,C13,-C11/12)</f>
        <v>114601228.24228214</v>
      </c>
    </row>
    <row r="16" spans="2:3" x14ac:dyDescent="0.3">
      <c r="B16" s="220" t="s">
        <v>95</v>
      </c>
      <c r="C16" s="220"/>
    </row>
    <row r="17" spans="2:4" x14ac:dyDescent="0.3">
      <c r="B17" t="str">
        <f>Assumptions!$E$5</f>
        <v>Hard Costs</v>
      </c>
      <c r="C17" s="172">
        <f>-Assumptions!$G$5</f>
        <v>-60000000</v>
      </c>
    </row>
    <row r="18" spans="2:4" x14ac:dyDescent="0.3">
      <c r="B18" t="str">
        <f>Assumptions!$E$8</f>
        <v>Soft Costs</v>
      </c>
      <c r="C18" s="172">
        <f>-Assumptions!$G$8</f>
        <v>-18000000</v>
      </c>
    </row>
    <row r="19" spans="2:4" x14ac:dyDescent="0.3">
      <c r="B19" t="str">
        <f>Assumptions!$E$10</f>
        <v>Developer Fee</v>
      </c>
      <c r="C19" s="172">
        <f>-Assumptions!$G$10</f>
        <v>-2500000</v>
      </c>
    </row>
    <row r="20" spans="2:4" x14ac:dyDescent="0.3">
      <c r="B20" t="s">
        <v>87</v>
      </c>
      <c r="C20" s="172">
        <f>MAX(-Assumptions!C9,-'Land Residual Value'!C38)</f>
        <v>-22000000</v>
      </c>
      <c r="D20" s="63" t="s">
        <v>158</v>
      </c>
    </row>
    <row r="21" spans="2:4" x14ac:dyDescent="0.3">
      <c r="B21" s="5" t="s">
        <v>88</v>
      </c>
      <c r="C21" s="173">
        <f>SUM(C17:C20)</f>
        <v>-102500000</v>
      </c>
    </row>
    <row r="22" spans="2:4" x14ac:dyDescent="0.3">
      <c r="B22" t="str">
        <f>Assumptions!B18</f>
        <v>Maximum Loan To Cost</v>
      </c>
      <c r="C22" s="27">
        <f>Assumptions!C18</f>
        <v>0.9</v>
      </c>
    </row>
    <row r="23" spans="2:4" x14ac:dyDescent="0.3">
      <c r="B23" s="5" t="s">
        <v>89</v>
      </c>
      <c r="C23" s="173">
        <f>-C22*C21</f>
        <v>92250000</v>
      </c>
    </row>
    <row r="25" spans="2:4" x14ac:dyDescent="0.3">
      <c r="B25" s="143" t="s">
        <v>91</v>
      </c>
      <c r="C25" s="176">
        <f>MIN(C23,C14,C6)</f>
        <v>92250000</v>
      </c>
    </row>
    <row r="26" spans="2:4" x14ac:dyDescent="0.3">
      <c r="B26" s="5" t="s">
        <v>92</v>
      </c>
      <c r="C26" s="10" t="str">
        <f>IF(C25=C23,B16,IF(C25=C14,B8,B3))</f>
        <v>Loan to Cost</v>
      </c>
    </row>
  </sheetData>
  <mergeCells count="3">
    <mergeCell ref="B16:C16"/>
    <mergeCell ref="B3:C3"/>
    <mergeCell ref="B8:C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EC646-F115-4558-8646-493E77F7ACCE}">
  <dimension ref="B2:I30"/>
  <sheetViews>
    <sheetView showGridLines="0" workbookViewId="0">
      <selection activeCell="B56" sqref="B56"/>
    </sheetView>
  </sheetViews>
  <sheetFormatPr defaultRowHeight="14.4" x14ac:dyDescent="0.3"/>
  <cols>
    <col min="1" max="1" width="4.109375" customWidth="1"/>
    <col min="2" max="2" width="4.44140625" customWidth="1"/>
    <col min="3" max="3" width="14.88671875" bestFit="1" customWidth="1"/>
    <col min="4" max="4" width="6.5546875" customWidth="1"/>
    <col min="5" max="5" width="15.33203125" bestFit="1" customWidth="1"/>
    <col min="6" max="9" width="14.33203125" bestFit="1" customWidth="1"/>
  </cols>
  <sheetData>
    <row r="2" spans="2:9" ht="15" thickBot="1" x14ac:dyDescent="0.35"/>
    <row r="3" spans="2:9" x14ac:dyDescent="0.3">
      <c r="B3" s="204"/>
      <c r="C3" s="202"/>
      <c r="D3" s="202"/>
      <c r="E3" s="202"/>
      <c r="F3" s="202" t="s">
        <v>16</v>
      </c>
      <c r="G3" s="202"/>
      <c r="H3" s="202"/>
      <c r="I3" s="203"/>
    </row>
    <row r="4" spans="2:9" x14ac:dyDescent="0.3">
      <c r="B4" s="205"/>
      <c r="C4" s="144"/>
      <c r="D4" s="144"/>
      <c r="E4" s="145">
        <f>F4-H12</f>
        <v>-2</v>
      </c>
      <c r="F4" s="145">
        <f>G4-H12</f>
        <v>-1</v>
      </c>
      <c r="G4" s="145">
        <v>0</v>
      </c>
      <c r="H4" s="145">
        <f>G4+H12</f>
        <v>1</v>
      </c>
      <c r="I4" s="146">
        <f>H4+H12</f>
        <v>2</v>
      </c>
    </row>
    <row r="5" spans="2:9" ht="15" customHeight="1" x14ac:dyDescent="0.3">
      <c r="B5" s="221" t="s">
        <v>53</v>
      </c>
      <c r="C5" s="206" t="s">
        <v>15</v>
      </c>
      <c r="D5" s="207"/>
      <c r="E5" s="190">
        <f>Assumptions!T3</f>
        <v>36</v>
      </c>
      <c r="F5" s="190">
        <f>Assumptions!U3</f>
        <v>37</v>
      </c>
      <c r="G5" s="195">
        <f>Assumptions!V3</f>
        <v>38</v>
      </c>
      <c r="H5" s="190">
        <f>Assumptions!W3</f>
        <v>39</v>
      </c>
      <c r="I5" s="191">
        <f>Assumptions!X3</f>
        <v>40</v>
      </c>
    </row>
    <row r="6" spans="2:9" x14ac:dyDescent="0.3">
      <c r="B6" s="221"/>
      <c r="C6" s="74">
        <f>Assumptions!S4</f>
        <v>8.0000000000000016E-2</v>
      </c>
      <c r="D6" s="147">
        <f>D7+H13</f>
        <v>0.01</v>
      </c>
      <c r="E6" s="192">
        <f>Assumptions!T4</f>
        <v>136728128.72656247</v>
      </c>
      <c r="F6" s="183">
        <f>Assumptions!U4</f>
        <v>140570635.28906247</v>
      </c>
      <c r="G6" s="183">
        <f>Assumptions!V4</f>
        <v>144413141.85156247</v>
      </c>
      <c r="H6" s="183">
        <f>Assumptions!W4</f>
        <v>148255648.41406247</v>
      </c>
      <c r="I6" s="184">
        <f>Assumptions!X4</f>
        <v>152098154.97656247</v>
      </c>
    </row>
    <row r="7" spans="2:9" x14ac:dyDescent="0.3">
      <c r="B7" s="221"/>
      <c r="C7" s="155">
        <f>Assumptions!S5</f>
        <v>7.5000000000000011E-2</v>
      </c>
      <c r="D7" s="77">
        <f>H13</f>
        <v>5.0000000000000001E-3</v>
      </c>
      <c r="E7" s="185">
        <f>Assumptions!T5</f>
        <v>145843337.30833331</v>
      </c>
      <c r="F7" s="78">
        <f>Assumptions!U5</f>
        <v>149942010.97499996</v>
      </c>
      <c r="G7" s="78">
        <f>Assumptions!V5</f>
        <v>154040684.64166665</v>
      </c>
      <c r="H7" s="78">
        <f>Assumptions!W5</f>
        <v>158139358.30833331</v>
      </c>
      <c r="I7" s="186">
        <f>Assumptions!X5</f>
        <v>162238031.97499999</v>
      </c>
    </row>
    <row r="8" spans="2:9" x14ac:dyDescent="0.3">
      <c r="B8" s="221"/>
      <c r="C8" s="189">
        <f>Assumptions!S6</f>
        <v>7.0000000000000007E-2</v>
      </c>
      <c r="D8" s="148">
        <v>0</v>
      </c>
      <c r="E8" s="185">
        <f>Assumptions!T6</f>
        <v>156260718.54464284</v>
      </c>
      <c r="F8" s="78">
        <f>Assumptions!U6</f>
        <v>160652154.6160714</v>
      </c>
      <c r="G8" s="193">
        <f>Assumptions!V6</f>
        <v>165043590.68749997</v>
      </c>
      <c r="H8" s="78">
        <f>Assumptions!W6</f>
        <v>169435026.75892857</v>
      </c>
      <c r="I8" s="186">
        <f>Assumptions!X6</f>
        <v>173826462.83035713</v>
      </c>
    </row>
    <row r="9" spans="2:9" x14ac:dyDescent="0.3">
      <c r="B9" s="221"/>
      <c r="C9" s="155">
        <f>Assumptions!S7</f>
        <v>6.5000000000000002E-2</v>
      </c>
      <c r="D9" s="77">
        <f>D8-H13</f>
        <v>-5.0000000000000001E-3</v>
      </c>
      <c r="E9" s="185">
        <f>Assumptions!T7</f>
        <v>168280773.81730768</v>
      </c>
      <c r="F9" s="78">
        <f>Assumptions!U7</f>
        <v>173010012.66346151</v>
      </c>
      <c r="G9" s="78">
        <f>Assumptions!V7</f>
        <v>177739251.50961536</v>
      </c>
      <c r="H9" s="78">
        <f>Assumptions!W7</f>
        <v>182468490.35576922</v>
      </c>
      <c r="I9" s="186">
        <f>Assumptions!X7</f>
        <v>187197729.20192307</v>
      </c>
    </row>
    <row r="10" spans="2:9" ht="15" thickBot="1" x14ac:dyDescent="0.35">
      <c r="B10" s="222"/>
      <c r="C10" s="156">
        <f>Assumptions!S8</f>
        <v>6.0000000000000005E-2</v>
      </c>
      <c r="D10" s="149">
        <f>D9-H13</f>
        <v>-0.01</v>
      </c>
      <c r="E10" s="187">
        <f>Assumptions!T8</f>
        <v>182304171.63541663</v>
      </c>
      <c r="F10" s="188">
        <f>Assumptions!U8</f>
        <v>187427513.71874997</v>
      </c>
      <c r="G10" s="188">
        <f>Assumptions!V8</f>
        <v>192550855.80208331</v>
      </c>
      <c r="H10" s="188">
        <f>Assumptions!W8</f>
        <v>197674197.88541666</v>
      </c>
      <c r="I10" s="194">
        <f>Assumptions!X8</f>
        <v>202797539.96875</v>
      </c>
    </row>
    <row r="11" spans="2:9" ht="15" thickBot="1" x14ac:dyDescent="0.35"/>
    <row r="12" spans="2:9" x14ac:dyDescent="0.3">
      <c r="C12" s="174" t="s">
        <v>98</v>
      </c>
      <c r="D12" s="177"/>
      <c r="E12" s="178">
        <f>I10</f>
        <v>202797539.96875</v>
      </c>
      <c r="G12" s="38" t="s">
        <v>96</v>
      </c>
      <c r="H12" s="71">
        <v>1</v>
      </c>
    </row>
    <row r="13" spans="2:9" x14ac:dyDescent="0.3">
      <c r="C13" s="179" t="s">
        <v>78</v>
      </c>
      <c r="D13" s="5"/>
      <c r="E13" s="180">
        <f>G8</f>
        <v>165043590.68749997</v>
      </c>
      <c r="F13" s="27"/>
      <c r="G13" s="36" t="s">
        <v>97</v>
      </c>
      <c r="H13" s="72">
        <v>5.0000000000000001E-3</v>
      </c>
    </row>
    <row r="14" spans="2:9" ht="15" thickBot="1" x14ac:dyDescent="0.35">
      <c r="C14" s="175" t="s">
        <v>99</v>
      </c>
      <c r="D14" s="181"/>
      <c r="E14" s="182">
        <f>E6</f>
        <v>136728128.72656247</v>
      </c>
      <c r="F14" s="27"/>
    </row>
    <row r="18" spans="2:9" ht="15" thickBot="1" x14ac:dyDescent="0.35"/>
    <row r="19" spans="2:9" x14ac:dyDescent="0.3">
      <c r="B19" s="204"/>
      <c r="C19" s="202"/>
      <c r="D19" s="202"/>
      <c r="E19" s="202"/>
      <c r="F19" s="202" t="s">
        <v>106</v>
      </c>
      <c r="G19" s="202"/>
      <c r="H19" s="202"/>
      <c r="I19" s="203"/>
    </row>
    <row r="20" spans="2:9" x14ac:dyDescent="0.3">
      <c r="B20" s="205"/>
      <c r="C20" s="144"/>
      <c r="D20" s="144"/>
      <c r="E20" s="153">
        <f>F20-H28</f>
        <v>-0.1</v>
      </c>
      <c r="F20" s="153">
        <f>G20-H28</f>
        <v>-0.05</v>
      </c>
      <c r="G20" s="153">
        <v>0</v>
      </c>
      <c r="H20" s="153">
        <f>G20+H28</f>
        <v>0.05</v>
      </c>
      <c r="I20" s="154">
        <f>H20+H28</f>
        <v>0.1</v>
      </c>
    </row>
    <row r="21" spans="2:9" x14ac:dyDescent="0.3">
      <c r="B21" s="221" t="s">
        <v>6</v>
      </c>
      <c r="C21" s="206" t="s">
        <v>5</v>
      </c>
      <c r="D21" s="207"/>
      <c r="E21" s="67">
        <f>'Land Residual Value'!O6</f>
        <v>-54150000</v>
      </c>
      <c r="F21" s="67">
        <f>'Land Residual Value'!P6</f>
        <v>-57000000</v>
      </c>
      <c r="G21" s="171">
        <f>'Land Residual Value'!Q6</f>
        <v>-60000000</v>
      </c>
      <c r="H21" s="67">
        <f>'Land Residual Value'!R6</f>
        <v>-63000000</v>
      </c>
      <c r="I21" s="84">
        <f>'Land Residual Value'!S6</f>
        <v>-66150000</v>
      </c>
    </row>
    <row r="22" spans="2:9" x14ac:dyDescent="0.3">
      <c r="B22" s="221"/>
      <c r="C22" s="81">
        <f>'Land Residual Value'!N7</f>
        <v>-14580000</v>
      </c>
      <c r="D22" s="150">
        <f>D23-H29</f>
        <v>-0.2</v>
      </c>
      <c r="E22" s="192">
        <f>'Land Residual Value'!O7</f>
        <v>52157817.987517565</v>
      </c>
      <c r="F22" s="183">
        <f>'Land Residual Value'!P7</f>
        <v>49307817.987517565</v>
      </c>
      <c r="G22" s="183">
        <f>'Land Residual Value'!Q7</f>
        <v>46307817.987517565</v>
      </c>
      <c r="H22" s="183">
        <f>'Land Residual Value'!R7</f>
        <v>43307817.987517565</v>
      </c>
      <c r="I22" s="184">
        <f>'Land Residual Value'!S7</f>
        <v>40157817.987517565</v>
      </c>
    </row>
    <row r="23" spans="2:9" x14ac:dyDescent="0.3">
      <c r="B23" s="221"/>
      <c r="C23" s="82">
        <f>'Land Residual Value'!N8</f>
        <v>-16200000</v>
      </c>
      <c r="D23" s="151">
        <f>D24-H29</f>
        <v>-0.1</v>
      </c>
      <c r="E23" s="185">
        <f>'Land Residual Value'!O8</f>
        <v>50537817.987517565</v>
      </c>
      <c r="F23" s="78">
        <f>'Land Residual Value'!P8</f>
        <v>47687817.987517565</v>
      </c>
      <c r="G23" s="78">
        <f>'Land Residual Value'!Q8</f>
        <v>44687817.987517565</v>
      </c>
      <c r="H23" s="78">
        <f>'Land Residual Value'!R8</f>
        <v>41687817.987517565</v>
      </c>
      <c r="I23" s="186">
        <f>'Land Residual Value'!S8</f>
        <v>38537817.987517565</v>
      </c>
    </row>
    <row r="24" spans="2:9" x14ac:dyDescent="0.3">
      <c r="B24" s="221"/>
      <c r="C24" s="196">
        <f>'Land Residual Value'!N9</f>
        <v>-18000000</v>
      </c>
      <c r="D24" s="197">
        <v>0</v>
      </c>
      <c r="E24" s="185">
        <f>'Land Residual Value'!O9</f>
        <v>48737817.987517565</v>
      </c>
      <c r="F24" s="78">
        <f>'Land Residual Value'!P9</f>
        <v>45887817.987517565</v>
      </c>
      <c r="G24" s="193">
        <f>'Land Residual Value'!Q9</f>
        <v>42887817.987517565</v>
      </c>
      <c r="H24" s="78">
        <f>'Land Residual Value'!R9</f>
        <v>39887817.987517565</v>
      </c>
      <c r="I24" s="186">
        <f>'Land Residual Value'!S9</f>
        <v>36737817.987517565</v>
      </c>
    </row>
    <row r="25" spans="2:9" x14ac:dyDescent="0.3">
      <c r="B25" s="221"/>
      <c r="C25" s="82">
        <f>'Land Residual Value'!N10</f>
        <v>-19800000</v>
      </c>
      <c r="D25" s="151">
        <f>D24+H29</f>
        <v>0.1</v>
      </c>
      <c r="E25" s="185">
        <f>'Land Residual Value'!O10</f>
        <v>46937817.987517565</v>
      </c>
      <c r="F25" s="78">
        <f>'Land Residual Value'!P10</f>
        <v>44087817.987517565</v>
      </c>
      <c r="G25" s="78">
        <f>'Land Residual Value'!Q10</f>
        <v>41087817.987517565</v>
      </c>
      <c r="H25" s="78">
        <f>'Land Residual Value'!R10</f>
        <v>38087817.987517565</v>
      </c>
      <c r="I25" s="186">
        <f>'Land Residual Value'!S10</f>
        <v>34937817.987517565</v>
      </c>
    </row>
    <row r="26" spans="2:9" ht="15" thickBot="1" x14ac:dyDescent="0.35">
      <c r="B26" s="222"/>
      <c r="C26" s="83">
        <f>'Land Residual Value'!N11</f>
        <v>-21780000</v>
      </c>
      <c r="D26" s="152">
        <f>D25+H29</f>
        <v>0.2</v>
      </c>
      <c r="E26" s="187">
        <f>'Land Residual Value'!O11</f>
        <v>44957817.987517565</v>
      </c>
      <c r="F26" s="188">
        <f>'Land Residual Value'!P11</f>
        <v>42107817.987517565</v>
      </c>
      <c r="G26" s="188">
        <f>'Land Residual Value'!Q11</f>
        <v>39107817.987517565</v>
      </c>
      <c r="H26" s="188">
        <f>'Land Residual Value'!R11</f>
        <v>36107817.987517565</v>
      </c>
      <c r="I26" s="194">
        <f>'Land Residual Value'!S11</f>
        <v>32957817.987517565</v>
      </c>
    </row>
    <row r="27" spans="2:9" ht="15" thickBot="1" x14ac:dyDescent="0.35"/>
    <row r="28" spans="2:9" x14ac:dyDescent="0.3">
      <c r="C28" s="174" t="s">
        <v>98</v>
      </c>
      <c r="D28" s="177"/>
      <c r="E28" s="178">
        <f>E22</f>
        <v>52157817.987517565</v>
      </c>
      <c r="G28" s="38" t="s">
        <v>104</v>
      </c>
      <c r="H28" s="73">
        <v>0.05</v>
      </c>
    </row>
    <row r="29" spans="2:9" x14ac:dyDescent="0.3">
      <c r="C29" s="179" t="s">
        <v>78</v>
      </c>
      <c r="D29" s="5"/>
      <c r="E29" s="180">
        <f>G24</f>
        <v>42887817.987517565</v>
      </c>
      <c r="F29" s="27"/>
      <c r="G29" s="36" t="s">
        <v>105</v>
      </c>
      <c r="H29" s="80">
        <v>0.1</v>
      </c>
    </row>
    <row r="30" spans="2:9" ht="15" thickBot="1" x14ac:dyDescent="0.35">
      <c r="C30" s="175" t="s">
        <v>99</v>
      </c>
      <c r="D30" s="181"/>
      <c r="E30" s="182">
        <f>I26</f>
        <v>32957817.987517565</v>
      </c>
      <c r="F30" s="27"/>
    </row>
  </sheetData>
  <mergeCells count="2">
    <mergeCell ref="B5:B10"/>
    <mergeCell ref="B21:B2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DA4DE-8DD5-42A4-8381-F8841AC87D97}">
  <dimension ref="B2:I28"/>
  <sheetViews>
    <sheetView showGridLines="0" workbookViewId="0">
      <selection activeCell="B69" sqref="B69"/>
    </sheetView>
  </sheetViews>
  <sheetFormatPr defaultRowHeight="14.4" x14ac:dyDescent="0.3"/>
  <cols>
    <col min="1" max="1" width="4.5546875" customWidth="1"/>
    <col min="2" max="2" width="22.6640625" bestFit="1" customWidth="1"/>
    <col min="3" max="3" width="15" bestFit="1" customWidth="1"/>
    <col min="5" max="5" width="10.109375" customWidth="1"/>
    <col min="6" max="6" width="13.88671875" customWidth="1"/>
  </cols>
  <sheetData>
    <row r="2" spans="2:9" x14ac:dyDescent="0.3">
      <c r="B2" s="223" t="s">
        <v>116</v>
      </c>
      <c r="C2" s="223"/>
      <c r="D2" s="223"/>
      <c r="E2" s="223"/>
      <c r="F2" s="223"/>
      <c r="G2" s="223"/>
      <c r="H2" s="223"/>
    </row>
    <row r="3" spans="2:9" x14ac:dyDescent="0.3">
      <c r="B3" s="95" t="s">
        <v>19</v>
      </c>
      <c r="C3" s="95" t="s">
        <v>20</v>
      </c>
      <c r="D3" s="95" t="s">
        <v>24</v>
      </c>
      <c r="E3" s="95" t="s">
        <v>118</v>
      </c>
      <c r="F3" s="95" t="s">
        <v>25</v>
      </c>
      <c r="G3" s="95" t="s">
        <v>28</v>
      </c>
      <c r="H3" s="95" t="s">
        <v>26</v>
      </c>
    </row>
    <row r="4" spans="2:9" x14ac:dyDescent="0.3">
      <c r="B4" s="92" t="s">
        <v>126</v>
      </c>
      <c r="C4" s="92" t="s">
        <v>128</v>
      </c>
      <c r="D4" s="92" t="s">
        <v>32</v>
      </c>
      <c r="E4" s="96">
        <v>4045</v>
      </c>
      <c r="F4" s="103">
        <v>29.5</v>
      </c>
      <c r="G4" s="98" t="s">
        <v>29</v>
      </c>
      <c r="H4" s="92" t="s">
        <v>27</v>
      </c>
      <c r="I4" t="s">
        <v>127</v>
      </c>
    </row>
    <row r="5" spans="2:9" x14ac:dyDescent="0.3">
      <c r="B5" s="92" t="s">
        <v>130</v>
      </c>
      <c r="C5" s="92" t="s">
        <v>115</v>
      </c>
      <c r="D5" s="92" t="s">
        <v>32</v>
      </c>
      <c r="E5" s="96">
        <v>4130</v>
      </c>
      <c r="F5" s="103">
        <v>27</v>
      </c>
      <c r="G5" s="98" t="s">
        <v>29</v>
      </c>
      <c r="H5" s="92" t="s">
        <v>27</v>
      </c>
      <c r="I5" t="s">
        <v>121</v>
      </c>
    </row>
    <row r="6" spans="2:9" x14ac:dyDescent="0.3">
      <c r="B6" s="92" t="s">
        <v>39</v>
      </c>
      <c r="C6" s="92" t="s">
        <v>40</v>
      </c>
      <c r="D6" s="92" t="s">
        <v>32</v>
      </c>
      <c r="E6" s="96">
        <v>3040</v>
      </c>
      <c r="F6" s="103">
        <v>20</v>
      </c>
      <c r="G6" s="98" t="s">
        <v>29</v>
      </c>
      <c r="H6" s="92" t="s">
        <v>27</v>
      </c>
      <c r="I6" t="s">
        <v>41</v>
      </c>
    </row>
    <row r="7" spans="2:9" x14ac:dyDescent="0.3">
      <c r="B7" s="92" t="s">
        <v>129</v>
      </c>
      <c r="C7" s="92" t="s">
        <v>115</v>
      </c>
      <c r="D7" s="92" t="s">
        <v>32</v>
      </c>
      <c r="E7" s="96">
        <v>2791</v>
      </c>
      <c r="F7" s="103">
        <v>43</v>
      </c>
      <c r="G7" s="98" t="s">
        <v>29</v>
      </c>
      <c r="H7" s="92" t="s">
        <v>27</v>
      </c>
      <c r="I7" t="s">
        <v>121</v>
      </c>
    </row>
    <row r="8" spans="2:9" x14ac:dyDescent="0.3">
      <c r="B8" s="92" t="s">
        <v>30</v>
      </c>
      <c r="C8" s="92" t="s">
        <v>31</v>
      </c>
      <c r="D8" s="92" t="s">
        <v>32</v>
      </c>
      <c r="E8" s="96">
        <v>2200</v>
      </c>
      <c r="F8" s="102">
        <v>32.5</v>
      </c>
      <c r="G8" s="98" t="s">
        <v>29</v>
      </c>
      <c r="H8" s="92" t="s">
        <v>27</v>
      </c>
      <c r="I8" t="s">
        <v>36</v>
      </c>
    </row>
    <row r="9" spans="2:9" x14ac:dyDescent="0.3">
      <c r="B9" s="92" t="s">
        <v>37</v>
      </c>
      <c r="C9" s="92" t="s">
        <v>33</v>
      </c>
      <c r="D9" s="92" t="s">
        <v>32</v>
      </c>
      <c r="E9" s="96">
        <v>2048</v>
      </c>
      <c r="F9" s="103">
        <v>27</v>
      </c>
      <c r="G9" s="98" t="s">
        <v>29</v>
      </c>
      <c r="H9" s="92" t="s">
        <v>27</v>
      </c>
      <c r="I9" t="s">
        <v>38</v>
      </c>
    </row>
    <row r="10" spans="2:9" x14ac:dyDescent="0.3">
      <c r="B10" s="92" t="s">
        <v>34</v>
      </c>
      <c r="C10" s="92" t="s">
        <v>33</v>
      </c>
      <c r="D10" s="92" t="s">
        <v>32</v>
      </c>
      <c r="E10" s="96">
        <v>3150</v>
      </c>
      <c r="F10" s="103">
        <v>24</v>
      </c>
      <c r="G10" s="98" t="s">
        <v>29</v>
      </c>
      <c r="H10" s="92" t="s">
        <v>27</v>
      </c>
      <c r="I10" t="s">
        <v>35</v>
      </c>
    </row>
    <row r="12" spans="2:9" x14ac:dyDescent="0.3">
      <c r="D12" s="12" t="s">
        <v>21</v>
      </c>
      <c r="E12" s="16">
        <f>MAX(E4:E10)</f>
        <v>4130</v>
      </c>
      <c r="F12" s="99">
        <f>MAX(F4:F10)</f>
        <v>43</v>
      </c>
    </row>
    <row r="13" spans="2:9" x14ac:dyDescent="0.3">
      <c r="D13" s="13" t="s">
        <v>22</v>
      </c>
      <c r="E13" s="15">
        <f>AVERAGE(E4:E10)</f>
        <v>3057.7142857142858</v>
      </c>
      <c r="F13" s="100">
        <f>AVERAGE(F4:F10)</f>
        <v>29</v>
      </c>
    </row>
    <row r="14" spans="2:9" x14ac:dyDescent="0.3">
      <c r="D14" s="14" t="s">
        <v>23</v>
      </c>
      <c r="E14" s="8">
        <f>MIN(E4:E10)</f>
        <v>2048</v>
      </c>
      <c r="F14" s="101">
        <f>MIN(F4:F10)</f>
        <v>20</v>
      </c>
    </row>
    <row r="17" spans="2:9" x14ac:dyDescent="0.3">
      <c r="B17" s="223" t="s">
        <v>117</v>
      </c>
      <c r="C17" s="223"/>
      <c r="D17" s="223"/>
      <c r="E17" s="223"/>
      <c r="F17" s="223"/>
      <c r="G17" s="223"/>
      <c r="H17" s="223"/>
    </row>
    <row r="18" spans="2:9" x14ac:dyDescent="0.3">
      <c r="B18" s="95" t="s">
        <v>19</v>
      </c>
      <c r="C18" s="95" t="s">
        <v>20</v>
      </c>
      <c r="D18" s="95" t="s">
        <v>24</v>
      </c>
      <c r="E18" s="95" t="s">
        <v>118</v>
      </c>
      <c r="F18" s="95" t="s">
        <v>25</v>
      </c>
      <c r="G18" s="95" t="s">
        <v>28</v>
      </c>
      <c r="H18" s="95" t="s">
        <v>26</v>
      </c>
    </row>
    <row r="19" spans="2:9" x14ac:dyDescent="0.3">
      <c r="B19" s="92" t="s">
        <v>119</v>
      </c>
      <c r="C19" s="92" t="s">
        <v>115</v>
      </c>
      <c r="D19" s="92" t="s">
        <v>32</v>
      </c>
      <c r="E19" s="96">
        <v>54997</v>
      </c>
      <c r="F19" s="97">
        <f>(40747.02*12)/E19</f>
        <v>8.8907438587559326</v>
      </c>
      <c r="G19" s="98" t="s">
        <v>29</v>
      </c>
      <c r="H19" s="92" t="s">
        <v>27</v>
      </c>
      <c r="I19" t="s">
        <v>121</v>
      </c>
    </row>
    <row r="20" spans="2:9" x14ac:dyDescent="0.3">
      <c r="B20" s="92" t="s">
        <v>45</v>
      </c>
      <c r="C20" s="92" t="s">
        <v>46</v>
      </c>
      <c r="D20" s="92" t="s">
        <v>32</v>
      </c>
      <c r="E20" s="96">
        <v>31747</v>
      </c>
      <c r="F20" s="97">
        <v>10</v>
      </c>
      <c r="G20" s="98" t="s">
        <v>29</v>
      </c>
      <c r="H20" s="92" t="s">
        <v>27</v>
      </c>
      <c r="I20" t="s">
        <v>47</v>
      </c>
    </row>
    <row r="21" spans="2:9" x14ac:dyDescent="0.3">
      <c r="B21" s="92" t="s">
        <v>42</v>
      </c>
      <c r="C21" s="92" t="s">
        <v>43</v>
      </c>
      <c r="D21" s="92" t="s">
        <v>32</v>
      </c>
      <c r="E21" s="96">
        <v>31401</v>
      </c>
      <c r="F21" s="97">
        <v>17</v>
      </c>
      <c r="G21" s="98" t="s">
        <v>29</v>
      </c>
      <c r="H21" s="92" t="s">
        <v>27</v>
      </c>
      <c r="I21" t="s">
        <v>44</v>
      </c>
    </row>
    <row r="22" spans="2:9" x14ac:dyDescent="0.3">
      <c r="B22" s="92" t="s">
        <v>122</v>
      </c>
      <c r="C22" s="92" t="s">
        <v>124</v>
      </c>
      <c r="D22" s="92" t="s">
        <v>32</v>
      </c>
      <c r="E22" s="96">
        <v>28049</v>
      </c>
      <c r="F22" s="97">
        <v>16</v>
      </c>
      <c r="G22" s="98" t="s">
        <v>29</v>
      </c>
      <c r="H22" s="92" t="s">
        <v>27</v>
      </c>
      <c r="I22" t="s">
        <v>123</v>
      </c>
    </row>
    <row r="23" spans="2:9" x14ac:dyDescent="0.3">
      <c r="B23" s="92" t="s">
        <v>120</v>
      </c>
      <c r="C23" s="92" t="s">
        <v>115</v>
      </c>
      <c r="D23" s="92" t="s">
        <v>32</v>
      </c>
      <c r="E23" s="96">
        <v>27518</v>
      </c>
      <c r="F23" s="97">
        <v>16</v>
      </c>
      <c r="G23" s="98" t="s">
        <v>29</v>
      </c>
      <c r="H23" s="92" t="s">
        <v>27</v>
      </c>
      <c r="I23" t="s">
        <v>121</v>
      </c>
    </row>
    <row r="24" spans="2:9" x14ac:dyDescent="0.3">
      <c r="B24" s="92" t="s">
        <v>125</v>
      </c>
      <c r="C24" s="92" t="s">
        <v>115</v>
      </c>
      <c r="D24" s="92" t="s">
        <v>32</v>
      </c>
      <c r="E24" s="96">
        <v>9934</v>
      </c>
      <c r="F24" s="97">
        <v>23.5</v>
      </c>
      <c r="G24" s="98" t="s">
        <v>29</v>
      </c>
      <c r="H24" s="92" t="s">
        <v>27</v>
      </c>
      <c r="I24" t="s">
        <v>121</v>
      </c>
    </row>
    <row r="26" spans="2:9" x14ac:dyDescent="0.3">
      <c r="D26" s="12" t="s">
        <v>21</v>
      </c>
      <c r="E26" s="16">
        <f>MAX(E19:E24)</f>
        <v>54997</v>
      </c>
      <c r="F26" s="99">
        <f>MAX(F19:F24)</f>
        <v>23.5</v>
      </c>
    </row>
    <row r="27" spans="2:9" x14ac:dyDescent="0.3">
      <c r="D27" s="13" t="s">
        <v>22</v>
      </c>
      <c r="E27" s="15">
        <f>AVERAGE(E19:E24)</f>
        <v>30607.666666666668</v>
      </c>
      <c r="F27" s="100">
        <f>AVERAGE(F19:F24)</f>
        <v>15.23179064312599</v>
      </c>
    </row>
    <row r="28" spans="2:9" x14ac:dyDescent="0.3">
      <c r="D28" s="14" t="s">
        <v>23</v>
      </c>
      <c r="E28" s="8">
        <f>MIN(E19:E24)</f>
        <v>9934</v>
      </c>
      <c r="F28" s="101">
        <f>MIN(F19:F24)</f>
        <v>8.8907438587559326</v>
      </c>
    </row>
  </sheetData>
  <mergeCells count="2">
    <mergeCell ref="B2:H2"/>
    <mergeCell ref="B17:H1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371CE-3E8A-4549-A392-658318A0D89D}">
  <dimension ref="A1"/>
  <sheetViews>
    <sheetView showGridLines="0" tabSelected="1" zoomScale="90" zoomScaleNormal="90" workbookViewId="0">
      <selection activeCell="A84" sqref="A84"/>
    </sheetView>
  </sheetViews>
  <sheetFormatPr defaultRowHeight="14.4" x14ac:dyDescent="0.3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3316359BD63274EB5FC8CEF417094E2" ma:contentTypeVersion="13" ma:contentTypeDescription="Create a new document." ma:contentTypeScope="" ma:versionID="5ff70012a215badc0d8d9aee87277368">
  <xsd:schema xmlns:xsd="http://www.w3.org/2001/XMLSchema" xmlns:xs="http://www.w3.org/2001/XMLSchema" xmlns:p="http://schemas.microsoft.com/office/2006/metadata/properties" xmlns:ns3="e4f09f3d-ced5-4b67-a879-9cb2ba7e34f3" xmlns:ns4="ba2a85a3-30ea-4505-8a51-4848cbdd797d" targetNamespace="http://schemas.microsoft.com/office/2006/metadata/properties" ma:root="true" ma:fieldsID="3277cce78f88a7523fd39af9b705d9c1" ns3:_="" ns4:_="">
    <xsd:import namespace="e4f09f3d-ced5-4b67-a879-9cb2ba7e34f3"/>
    <xsd:import namespace="ba2a85a3-30ea-4505-8a51-4848cbdd797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f09f3d-ced5-4b67-a879-9cb2ba7e3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2a85a3-30ea-4505-8a51-4848cbdd797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F95A5CD-6F04-4F71-9CBE-5303C2C37F28}">
  <ds:schemaRefs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www.w3.org/XML/1998/namespace"/>
    <ds:schemaRef ds:uri="ba2a85a3-30ea-4505-8a51-4848cbdd797d"/>
    <ds:schemaRef ds:uri="http://purl.org/dc/dcmitype/"/>
    <ds:schemaRef ds:uri="http://purl.org/dc/terms/"/>
    <ds:schemaRef ds:uri="http://schemas.microsoft.com/office/infopath/2007/PartnerControls"/>
    <ds:schemaRef ds:uri="e4f09f3d-ced5-4b67-a879-9cb2ba7e34f3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3408C023-6621-4366-B483-BEBD9F63D0E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21EDE71-C32C-41E9-9622-3C7E6D1395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4f09f3d-ced5-4b67-a879-9cb2ba7e34f3"/>
    <ds:schemaRef ds:uri="ba2a85a3-30ea-4505-8a51-4848cbdd797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Conclusions</vt:lpstr>
      <vt:lpstr>ASSIGNMENT</vt:lpstr>
      <vt:lpstr>Assumptions</vt:lpstr>
      <vt:lpstr>Land Residual Value</vt:lpstr>
      <vt:lpstr>Supportable Mortgage</vt:lpstr>
      <vt:lpstr>Sensitivity</vt:lpstr>
      <vt:lpstr>Market Support</vt:lpstr>
      <vt:lpstr>Site Aerial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JT;Miller</dc:creator>
  <cp:lastModifiedBy>Norman Miller</cp:lastModifiedBy>
  <dcterms:created xsi:type="dcterms:W3CDTF">2021-02-16T00:11:20Z</dcterms:created>
  <dcterms:modified xsi:type="dcterms:W3CDTF">2025-06-07T16:35:22Z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0x010100C3316359BD63274EB5FC8CEF417094E2</vt:lpwstr>
  </property>
</Properties>
</file>